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guillermoguerrero/Documents/buscandcryptodinero/"/>
    </mc:Choice>
  </mc:AlternateContent>
  <xr:revisionPtr revIDLastSave="0" documentId="13_ncr:1_{1724968F-DCCA-534D-87B6-A319E2D6FD93}" xr6:coauthVersionLast="41" xr6:coauthVersionMax="41" xr10:uidLastSave="{00000000-0000-0000-0000-000000000000}"/>
  <bookViews>
    <workbookView xWindow="0" yWindow="700" windowWidth="28800" windowHeight="16420" activeTab="2" xr2:uid="{00000000-000D-0000-FFFF-FFFF00000000}"/>
  </bookViews>
  <sheets>
    <sheet name="Graficas" sheetId="20" r:id="rId1"/>
    <sheet name="Resultados" sheetId="8" r:id="rId2"/>
    <sheet name="W11" sheetId="23" r:id="rId3"/>
    <sheet name="W10" sheetId="22" r:id="rId4"/>
    <sheet name="W9" sheetId="2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23" l="1"/>
  <c r="K18" i="23"/>
  <c r="J18" i="23"/>
  <c r="E18" i="23"/>
  <c r="F18" i="23" s="1"/>
  <c r="D6" i="8"/>
  <c r="E30" i="8"/>
  <c r="A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A24" i="8"/>
  <c r="A25" i="8" s="1"/>
  <c r="A26" i="8" s="1"/>
  <c r="A27" i="8" s="1"/>
  <c r="A28" i="8" s="1"/>
  <c r="A29" i="8" s="1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B6" i="8"/>
  <c r="Q17" i="23"/>
  <c r="P16" i="23"/>
  <c r="M25" i="22"/>
  <c r="K13" i="23"/>
  <c r="J13" i="23"/>
  <c r="E13" i="23"/>
  <c r="F13" i="23" s="1"/>
  <c r="E23" i="23"/>
  <c r="F23" i="23" s="1"/>
  <c r="J23" i="23"/>
  <c r="K23" i="23"/>
  <c r="L23" i="23" s="1"/>
  <c r="K22" i="23"/>
  <c r="J22" i="23"/>
  <c r="L22" i="23" s="1"/>
  <c r="E22" i="23"/>
  <c r="F22" i="23" s="1"/>
  <c r="K21" i="23"/>
  <c r="J21" i="23"/>
  <c r="E21" i="23"/>
  <c r="F21" i="23" s="1"/>
  <c r="H17" i="23"/>
  <c r="K10" i="23"/>
  <c r="E10" i="23"/>
  <c r="F10" i="23" s="1"/>
  <c r="K19" i="23"/>
  <c r="J19" i="23"/>
  <c r="E19" i="23"/>
  <c r="F19" i="23" s="1"/>
  <c r="L18" i="23" l="1"/>
  <c r="L21" i="23"/>
  <c r="L13" i="23"/>
  <c r="J10" i="23"/>
  <c r="L10" i="23" s="1"/>
  <c r="L19" i="23"/>
  <c r="K20" i="23" l="1"/>
  <c r="J20" i="23"/>
  <c r="E20" i="23"/>
  <c r="F20" i="23" s="1"/>
  <c r="K17" i="23"/>
  <c r="E17" i="23"/>
  <c r="F17" i="23" s="1"/>
  <c r="K16" i="23"/>
  <c r="J16" i="23"/>
  <c r="E16" i="23"/>
  <c r="F16" i="23" s="1"/>
  <c r="K15" i="23"/>
  <c r="J15" i="23"/>
  <c r="E15" i="23"/>
  <c r="F15" i="23" s="1"/>
  <c r="K14" i="23"/>
  <c r="J14" i="23"/>
  <c r="E14" i="23"/>
  <c r="F14" i="23" s="1"/>
  <c r="K12" i="23"/>
  <c r="J12" i="23"/>
  <c r="E12" i="23"/>
  <c r="F12" i="23" s="1"/>
  <c r="K11" i="23"/>
  <c r="J11" i="23"/>
  <c r="E11" i="23"/>
  <c r="F11" i="23" s="1"/>
  <c r="K9" i="23"/>
  <c r="J9" i="23"/>
  <c r="E9" i="23"/>
  <c r="F9" i="23" s="1"/>
  <c r="K7" i="23"/>
  <c r="J7" i="23"/>
  <c r="E7" i="23"/>
  <c r="F7" i="23" s="1"/>
  <c r="K6" i="23"/>
  <c r="J6" i="23"/>
  <c r="E6" i="23"/>
  <c r="F6" i="23" s="1"/>
  <c r="K8" i="23"/>
  <c r="J8" i="23"/>
  <c r="E8" i="23"/>
  <c r="F8" i="23" s="1"/>
  <c r="N2" i="23"/>
  <c r="O2" i="23" s="1"/>
  <c r="H22" i="22"/>
  <c r="M8" i="22"/>
  <c r="K16" i="22"/>
  <c r="J16" i="22"/>
  <c r="E16" i="22"/>
  <c r="F16" i="22" s="1"/>
  <c r="M9" i="23" l="1"/>
  <c r="N18" i="23" s="1"/>
  <c r="M8" i="23"/>
  <c r="M7" i="23"/>
  <c r="M6" i="23"/>
  <c r="L20" i="23"/>
  <c r="L11" i="23"/>
  <c r="L12" i="23"/>
  <c r="L14" i="23"/>
  <c r="L15" i="23"/>
  <c r="L16" i="23"/>
  <c r="J17" i="23"/>
  <c r="L17" i="23" s="1"/>
  <c r="L16" i="22"/>
  <c r="E14" i="22"/>
  <c r="F14" i="22" s="1"/>
  <c r="J14" i="22"/>
  <c r="K14" i="22"/>
  <c r="K20" i="22"/>
  <c r="J20" i="22"/>
  <c r="E20" i="22"/>
  <c r="F20" i="22" s="1"/>
  <c r="K7" i="22"/>
  <c r="M7" i="22" s="1"/>
  <c r="J7" i="22"/>
  <c r="E7" i="22"/>
  <c r="F7" i="22" s="1"/>
  <c r="K22" i="22"/>
  <c r="J22" i="22"/>
  <c r="E22" i="22"/>
  <c r="F22" i="22" s="1"/>
  <c r="K21" i="22"/>
  <c r="J21" i="22"/>
  <c r="E21" i="22"/>
  <c r="F21" i="22" s="1"/>
  <c r="K23" i="22"/>
  <c r="J23" i="22"/>
  <c r="E23" i="22"/>
  <c r="F23" i="22" s="1"/>
  <c r="K13" i="22"/>
  <c r="J13" i="22"/>
  <c r="E13" i="22"/>
  <c r="F13" i="22" s="1"/>
  <c r="K11" i="22"/>
  <c r="J11" i="22"/>
  <c r="E11" i="22"/>
  <c r="F11" i="22" s="1"/>
  <c r="K19" i="22"/>
  <c r="J19" i="22"/>
  <c r="E19" i="22"/>
  <c r="F19" i="22" s="1"/>
  <c r="K10" i="22"/>
  <c r="J10" i="22"/>
  <c r="E10" i="22"/>
  <c r="F10" i="22" s="1"/>
  <c r="K8" i="22"/>
  <c r="J8" i="22"/>
  <c r="E8" i="22"/>
  <c r="F8" i="22" s="1"/>
  <c r="K18" i="22"/>
  <c r="J18" i="22"/>
  <c r="E18" i="22"/>
  <c r="F18" i="22" s="1"/>
  <c r="K17" i="22"/>
  <c r="J17" i="22"/>
  <c r="E17" i="22"/>
  <c r="F17" i="22" s="1"/>
  <c r="K15" i="22"/>
  <c r="J15" i="22"/>
  <c r="E15" i="22"/>
  <c r="F15" i="22" s="1"/>
  <c r="K12" i="22"/>
  <c r="J12" i="22"/>
  <c r="E12" i="22"/>
  <c r="F12" i="22" s="1"/>
  <c r="K6" i="22"/>
  <c r="J6" i="22"/>
  <c r="E6" i="22"/>
  <c r="F6" i="22" s="1"/>
  <c r="K9" i="22"/>
  <c r="J9" i="22"/>
  <c r="E9" i="22"/>
  <c r="F9" i="22" s="1"/>
  <c r="N2" i="22"/>
  <c r="O2" i="22" s="1"/>
  <c r="N35" i="21"/>
  <c r="K35" i="21"/>
  <c r="J35" i="21"/>
  <c r="F35" i="21"/>
  <c r="E35" i="21"/>
  <c r="N34" i="21"/>
  <c r="K34" i="21"/>
  <c r="L34" i="21" s="1"/>
  <c r="J34" i="21"/>
  <c r="E34" i="21"/>
  <c r="F34" i="21" s="1"/>
  <c r="M15" i="21"/>
  <c r="N29" i="21" s="1"/>
  <c r="N30" i="21"/>
  <c r="L30" i="21"/>
  <c r="K30" i="21"/>
  <c r="J30" i="21"/>
  <c r="E30" i="21"/>
  <c r="F30" i="21" s="1"/>
  <c r="K29" i="21"/>
  <c r="J29" i="21"/>
  <c r="L29" i="21" s="1"/>
  <c r="E29" i="21"/>
  <c r="F29" i="21" s="1"/>
  <c r="N28" i="21"/>
  <c r="L28" i="21"/>
  <c r="K28" i="21"/>
  <c r="J28" i="21"/>
  <c r="E28" i="21"/>
  <c r="F28" i="21" s="1"/>
  <c r="N27" i="21"/>
  <c r="K27" i="21"/>
  <c r="J27" i="21"/>
  <c r="L27" i="21" s="1"/>
  <c r="E27" i="21"/>
  <c r="F27" i="21" s="1"/>
  <c r="M14" i="21"/>
  <c r="K17" i="21"/>
  <c r="J17" i="21"/>
  <c r="E17" i="21"/>
  <c r="F17" i="21" s="1"/>
  <c r="K31" i="21"/>
  <c r="J31" i="21"/>
  <c r="E31" i="21"/>
  <c r="F31" i="21" s="1"/>
  <c r="K36" i="21"/>
  <c r="J36" i="21"/>
  <c r="E36" i="21"/>
  <c r="F36" i="21" s="1"/>
  <c r="K26" i="21"/>
  <c r="J26" i="21"/>
  <c r="E26" i="21"/>
  <c r="F26" i="21" s="1"/>
  <c r="K14" i="21"/>
  <c r="J14" i="21"/>
  <c r="E14" i="21"/>
  <c r="F14" i="21" s="1"/>
  <c r="K25" i="21"/>
  <c r="J25" i="21"/>
  <c r="E25" i="21"/>
  <c r="F25" i="21" s="1"/>
  <c r="K8" i="21"/>
  <c r="J8" i="21"/>
  <c r="E8" i="21"/>
  <c r="F8" i="21" s="1"/>
  <c r="K21" i="21"/>
  <c r="J21" i="21"/>
  <c r="E21" i="21"/>
  <c r="F21" i="21" s="1"/>
  <c r="K18" i="21"/>
  <c r="J18" i="21"/>
  <c r="E18" i="21"/>
  <c r="F18" i="21" s="1"/>
  <c r="K19" i="21"/>
  <c r="J19" i="21"/>
  <c r="E19" i="21"/>
  <c r="F19" i="21" s="1"/>
  <c r="N20" i="23" l="1"/>
  <c r="N16" i="23"/>
  <c r="N12" i="23"/>
  <c r="N8" i="23"/>
  <c r="N23" i="23"/>
  <c r="N19" i="23"/>
  <c r="N15" i="23"/>
  <c r="N11" i="23"/>
  <c r="N7" i="23"/>
  <c r="N22" i="23"/>
  <c r="N17" i="23"/>
  <c r="N14" i="23"/>
  <c r="N10" i="23"/>
  <c r="N6" i="23"/>
  <c r="N21" i="23"/>
  <c r="N13" i="23"/>
  <c r="N9" i="23"/>
  <c r="M25" i="23"/>
  <c r="L25" i="23"/>
  <c r="M6" i="22"/>
  <c r="N6" i="22" s="1"/>
  <c r="N16" i="22"/>
  <c r="N18" i="22"/>
  <c r="N7" i="22"/>
  <c r="N10" i="22"/>
  <c r="N20" i="22"/>
  <c r="N17" i="22"/>
  <c r="N13" i="22"/>
  <c r="N9" i="22"/>
  <c r="N23" i="22"/>
  <c r="N19" i="22"/>
  <c r="N15" i="22"/>
  <c r="N12" i="22"/>
  <c r="N8" i="22"/>
  <c r="N14" i="22"/>
  <c r="N11" i="22"/>
  <c r="N22" i="22"/>
  <c r="L14" i="22"/>
  <c r="L21" i="22"/>
  <c r="L22" i="22"/>
  <c r="L20" i="22"/>
  <c r="L23" i="22"/>
  <c r="L13" i="22"/>
  <c r="L18" i="22"/>
  <c r="L12" i="22"/>
  <c r="L9" i="22"/>
  <c r="L11" i="22"/>
  <c r="L15" i="22"/>
  <c r="L17" i="22"/>
  <c r="L10" i="22"/>
  <c r="L19" i="22"/>
  <c r="L35" i="21"/>
  <c r="L17" i="21"/>
  <c r="L31" i="21"/>
  <c r="L26" i="21"/>
  <c r="L25" i="21"/>
  <c r="M8" i="21"/>
  <c r="L36" i="21"/>
  <c r="L21" i="21"/>
  <c r="L19" i="21"/>
  <c r="L18" i="21"/>
  <c r="K7" i="21"/>
  <c r="J7" i="21"/>
  <c r="E7" i="21"/>
  <c r="F7" i="21" s="1"/>
  <c r="K16" i="21"/>
  <c r="J16" i="21"/>
  <c r="E16" i="21"/>
  <c r="F16" i="21" s="1"/>
  <c r="N21" i="22" l="1"/>
  <c r="L25" i="22"/>
  <c r="M7" i="21"/>
  <c r="L16" i="21"/>
  <c r="K11" i="21"/>
  <c r="J11" i="21"/>
  <c r="E11" i="21"/>
  <c r="F11" i="21" s="1"/>
  <c r="M11" i="21" l="1"/>
  <c r="E23" i="21"/>
  <c r="K6" i="21"/>
  <c r="J6" i="21"/>
  <c r="K33" i="21"/>
  <c r="J33" i="21"/>
  <c r="K32" i="21"/>
  <c r="J32" i="21"/>
  <c r="K9" i="21"/>
  <c r="J9" i="21"/>
  <c r="K24" i="21"/>
  <c r="J24" i="21"/>
  <c r="K10" i="21"/>
  <c r="J10" i="21"/>
  <c r="K23" i="21"/>
  <c r="J23" i="21"/>
  <c r="K22" i="21"/>
  <c r="J22" i="21"/>
  <c r="K12" i="21"/>
  <c r="J12" i="21"/>
  <c r="K20" i="21"/>
  <c r="J20" i="21"/>
  <c r="K15" i="21"/>
  <c r="J15" i="21"/>
  <c r="M12" i="21" l="1"/>
  <c r="M10" i="21"/>
  <c r="M9" i="21"/>
  <c r="M6" i="21"/>
  <c r="L20" i="21"/>
  <c r="L22" i="21"/>
  <c r="L23" i="21"/>
  <c r="L24" i="21"/>
  <c r="L32" i="21"/>
  <c r="L33" i="21"/>
  <c r="N7" i="21" l="1"/>
  <c r="N8" i="21"/>
  <c r="N11" i="21"/>
  <c r="N9" i="21"/>
  <c r="N6" i="21"/>
  <c r="F23" i="21" l="1"/>
  <c r="E33" i="21"/>
  <c r="F33" i="21" s="1"/>
  <c r="E22" i="21"/>
  <c r="F22" i="21" s="1"/>
  <c r="E12" i="21" l="1"/>
  <c r="F12" i="21" l="1"/>
  <c r="E24" i="21"/>
  <c r="F24" i="21" s="1"/>
  <c r="E32" i="21"/>
  <c r="F32" i="21" s="1"/>
  <c r="E9" i="21"/>
  <c r="F9" i="21" s="1"/>
  <c r="E6" i="21"/>
  <c r="F6" i="21" s="1"/>
  <c r="K13" i="21"/>
  <c r="J13" i="21"/>
  <c r="E13" i="21"/>
  <c r="F13" i="21" s="1"/>
  <c r="E15" i="21"/>
  <c r="F15" i="21" s="1"/>
  <c r="E20" i="21"/>
  <c r="F20" i="21" s="1"/>
  <c r="E10" i="21"/>
  <c r="F10" i="21" s="1"/>
  <c r="N2" i="21"/>
  <c r="O2" i="21" s="1"/>
  <c r="E12" i="8"/>
  <c r="M13" i="21" l="1"/>
  <c r="L38" i="21"/>
  <c r="N25" i="20"/>
  <c r="N24" i="20"/>
  <c r="C25" i="20"/>
  <c r="B25" i="20" s="1"/>
  <c r="D24" i="20"/>
  <c r="C24" i="20"/>
  <c r="E9" i="8"/>
  <c r="E10" i="8"/>
  <c r="E11" i="8"/>
  <c r="E4" i="8"/>
  <c r="F4" i="8" s="1"/>
  <c r="E5" i="8"/>
  <c r="F5" i="8" s="1"/>
  <c r="E6" i="8"/>
  <c r="E7" i="8"/>
  <c r="E8" i="8"/>
  <c r="N17" i="21" l="1"/>
  <c r="N26" i="21"/>
  <c r="N19" i="21"/>
  <c r="N25" i="21"/>
  <c r="N10" i="21"/>
  <c r="N36" i="21"/>
  <c r="N12" i="21"/>
  <c r="N24" i="21"/>
  <c r="N22" i="21"/>
  <c r="N21" i="21"/>
  <c r="N31" i="21"/>
  <c r="N23" i="21"/>
  <c r="N13" i="21"/>
  <c r="N32" i="21"/>
  <c r="N18" i="21"/>
  <c r="N15" i="21"/>
  <c r="M38" i="21"/>
  <c r="N20" i="21"/>
  <c r="N14" i="21"/>
  <c r="N33" i="21"/>
  <c r="N16" i="21"/>
  <c r="B24" i="20"/>
  <c r="Q2" i="8" l="1"/>
  <c r="Q1" i="8"/>
</calcChain>
</file>

<file path=xl/sharedStrings.xml><?xml version="1.0" encoding="utf-8"?>
<sst xmlns="http://schemas.openxmlformats.org/spreadsheetml/2006/main" count="312" uniqueCount="81">
  <si>
    <t>Mes</t>
  </si>
  <si>
    <t>USD</t>
  </si>
  <si>
    <t>ETH</t>
  </si>
  <si>
    <t>Sept</t>
  </si>
  <si>
    <t>Oct</t>
  </si>
  <si>
    <t>Mar</t>
  </si>
  <si>
    <t>Abr</t>
  </si>
  <si>
    <t xml:space="preserve">Porcentaje Trade </t>
  </si>
  <si>
    <t>T. Trans</t>
  </si>
  <si>
    <t>Perdidas</t>
  </si>
  <si>
    <t>Inv Inicial</t>
  </si>
  <si>
    <t>Fin de mes</t>
  </si>
  <si>
    <t>Resultados</t>
  </si>
  <si>
    <t>TOTALES</t>
  </si>
  <si>
    <t>PESOS</t>
  </si>
  <si>
    <t>De:</t>
  </si>
  <si>
    <t>A:</t>
  </si>
  <si>
    <t>Inicial</t>
  </si>
  <si>
    <t>Final</t>
  </si>
  <si>
    <t>Resultado</t>
  </si>
  <si>
    <t>Retiro</t>
  </si>
  <si>
    <t>Moneda</t>
  </si>
  <si>
    <t>Moneda que dio mas resultados</t>
  </si>
  <si>
    <t>AVINOC</t>
  </si>
  <si>
    <t>SCOI</t>
  </si>
  <si>
    <t>Inicial:</t>
  </si>
  <si>
    <t>T.Cambio</t>
  </si>
  <si>
    <t>MXP Semana</t>
  </si>
  <si>
    <t>MXP Mes</t>
  </si>
  <si>
    <t>MINIMO A RECOLECTAR SEMANA:</t>
  </si>
  <si>
    <t>eth</t>
  </si>
  <si>
    <t>Tokens</t>
  </si>
  <si>
    <t>Ganancias</t>
  </si>
  <si>
    <t>XPAT</t>
  </si>
  <si>
    <t>FINAL</t>
  </si>
  <si>
    <t>RETIRO</t>
  </si>
  <si>
    <t>Ganacia</t>
  </si>
  <si>
    <t>METM</t>
  </si>
  <si>
    <t>BTT</t>
  </si>
  <si>
    <t>Precio Compra</t>
  </si>
  <si>
    <t>Precio Venta</t>
  </si>
  <si>
    <t>PAR</t>
  </si>
  <si>
    <t>Porcentaje</t>
  </si>
  <si>
    <t>Costo Total</t>
  </si>
  <si>
    <t>Venta Total</t>
  </si>
  <si>
    <t>Posible Ganancia</t>
  </si>
  <si>
    <t>Comprado</t>
  </si>
  <si>
    <t>Terminado</t>
  </si>
  <si>
    <t>Posicion Compra</t>
  </si>
  <si>
    <t>*Cada quien es responsible de su dinero, te estoy compartiendo las posiciones que tengo en plataforma LAToken.com</t>
  </si>
  <si>
    <t>*No me hago responsible de perdidas/ganancias</t>
  </si>
  <si>
    <t>Posiciones de Trading en LA Token de Buscando CryptoDinero</t>
  </si>
  <si>
    <t>*Estas posiciones estaran de forma diaria (no incluye Sabados) por el mes de Noviembre para los miembros de este grupo de forma gratuita</t>
  </si>
  <si>
    <t>W9 x 2019</t>
  </si>
  <si>
    <t>SAN</t>
  </si>
  <si>
    <t>NKN</t>
  </si>
  <si>
    <t>DRGN</t>
  </si>
  <si>
    <t>ENJ</t>
  </si>
  <si>
    <t>KRI</t>
  </si>
  <si>
    <t>COUP</t>
  </si>
  <si>
    <t>SNPC</t>
  </si>
  <si>
    <t>S4F</t>
  </si>
  <si>
    <t>ACAD</t>
  </si>
  <si>
    <t>DCN</t>
  </si>
  <si>
    <t>SHA</t>
  </si>
  <si>
    <t>KTO</t>
  </si>
  <si>
    <t>OVC</t>
  </si>
  <si>
    <t>LA</t>
  </si>
  <si>
    <t>Avinoc/Scoi/KRI</t>
  </si>
  <si>
    <t>W10 x 2019</t>
  </si>
  <si>
    <t>HOT</t>
  </si>
  <si>
    <t>WTC</t>
  </si>
  <si>
    <t>T. Cambio</t>
  </si>
  <si>
    <t>SCOI / XPAT</t>
  </si>
  <si>
    <t>Ganancia Semana</t>
  </si>
  <si>
    <t>PAY</t>
  </si>
  <si>
    <t>W11 x 2019</t>
  </si>
  <si>
    <t>May</t>
  </si>
  <si>
    <t>Jun</t>
  </si>
  <si>
    <t>Jul</t>
  </si>
  <si>
    <t>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</si>
</sst>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%"/>
    <numFmt numFmtId="172" formatCode="0.00000E+00"/>
    <numFmt numFmtId="177" formatCode="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Open Sans"/>
      <family val="2"/>
    </font>
    <font>
      <sz val="11"/>
      <color theme="1"/>
      <name val="Segoe UI"/>
      <family val="2"/>
    </font>
    <font>
      <sz val="10"/>
      <color theme="1"/>
      <name val="Roboto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Roboto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3DBD7D"/>
      <name val="Roboto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5" fillId="4" borderId="2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7" fillId="0" borderId="0" xfId="0" applyFont="1"/>
    <xf numFmtId="164" fontId="0" fillId="0" borderId="1" xfId="2" applyFont="1" applyBorder="1" applyAlignment="1">
      <alignment horizontal="center"/>
    </xf>
    <xf numFmtId="164" fontId="0" fillId="0" borderId="0" xfId="0" applyNumberFormat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" fontId="4" fillId="0" borderId="0" xfId="0" applyNumberFormat="1" applyFont="1"/>
    <xf numFmtId="0" fontId="12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2" borderId="1" xfId="0" applyFill="1" applyBorder="1"/>
    <xf numFmtId="165" fontId="0" fillId="2" borderId="1" xfId="1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9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horizontal="center"/>
    </xf>
    <xf numFmtId="164" fontId="1" fillId="0" borderId="1" xfId="2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5" fontId="13" fillId="2" borderId="1" xfId="1" applyNumberFormat="1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172" fontId="0" fillId="0" borderId="0" xfId="0" applyNumberFormat="1"/>
    <xf numFmtId="177" fontId="0" fillId="0" borderId="0" xfId="0" applyNumberFormat="1" applyAlignment="1">
      <alignment horizontal="center"/>
    </xf>
    <xf numFmtId="9" fontId="0" fillId="3" borderId="0" xfId="1" applyFont="1" applyFill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/>
    </xf>
    <xf numFmtId="9" fontId="6" fillId="0" borderId="4" xfId="1" applyFont="1" applyBorder="1" applyAlignment="1">
      <alignment horizontal="center"/>
    </xf>
    <xf numFmtId="164" fontId="0" fillId="0" borderId="4" xfId="2" applyFont="1" applyBorder="1" applyAlignment="1">
      <alignment horizontal="center"/>
    </xf>
    <xf numFmtId="0" fontId="0" fillId="0" borderId="5" xfId="0" applyBorder="1"/>
    <xf numFmtId="14" fontId="0" fillId="0" borderId="6" xfId="0" applyNumberFormat="1" applyBorder="1" applyAlignment="1">
      <alignment horizontal="center"/>
    </xf>
    <xf numFmtId="0" fontId="0" fillId="0" borderId="7" xfId="0" applyFont="1" applyBorder="1"/>
    <xf numFmtId="0" fontId="0" fillId="0" borderId="7" xfId="0" applyBorder="1"/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9" xfId="2" applyFont="1" applyBorder="1" applyAlignment="1">
      <alignment horizontal="center"/>
    </xf>
    <xf numFmtId="0" fontId="0" fillId="0" borderId="10" xfId="0" applyBorder="1"/>
    <xf numFmtId="164" fontId="0" fillId="0" borderId="9" xfId="2" applyFont="1" applyBorder="1" applyAlignment="1">
      <alignment horizontal="center"/>
    </xf>
    <xf numFmtId="0" fontId="0" fillId="0" borderId="4" xfId="0" applyBorder="1"/>
    <xf numFmtId="0" fontId="0" fillId="0" borderId="9" xfId="0" applyBorder="1"/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GANANCIA EN USD</a:t>
            </a:r>
          </a:p>
        </c:rich>
      </c:tx>
      <c:layout>
        <c:manualLayout>
          <c:xMode val="edge"/>
          <c:yMode val="edge"/>
          <c:x val="0.42384006696319942"/>
          <c:y val="2.7554531695907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Graficas!$B$1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Graficas!$A$2:$A$9</c:f>
              <c:strCache>
                <c:ptCount val="8"/>
                <c:pt idx="0">
                  <c:v>Sept</c:v>
                </c:pt>
                <c:pt idx="1">
                  <c:v>Oct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Graficas!$B$2:$B$9</c:f>
              <c:numCache>
                <c:formatCode>General</c:formatCode>
                <c:ptCount val="8"/>
                <c:pt idx="0">
                  <c:v>4035</c:v>
                </c:pt>
                <c:pt idx="1">
                  <c:v>2686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6-48E9-B032-AED2BD7DE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95936"/>
        <c:axId val="138796328"/>
      </c:barChart>
      <c:catAx>
        <c:axId val="13879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796328"/>
        <c:crosses val="autoZero"/>
        <c:auto val="1"/>
        <c:lblAlgn val="ctr"/>
        <c:lblOffset val="100"/>
        <c:noMultiLvlLbl val="0"/>
      </c:catAx>
      <c:valAx>
        <c:axId val="13879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7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GANANCIA</a:t>
            </a:r>
            <a:r>
              <a:rPr lang="en-US" baseline="0"/>
              <a:t> EN  </a:t>
            </a:r>
            <a:r>
              <a:rPr lang="en-US"/>
              <a:t>ETH</a:t>
            </a:r>
          </a:p>
        </c:rich>
      </c:tx>
      <c:layout>
        <c:manualLayout>
          <c:xMode val="edge"/>
          <c:yMode val="edge"/>
          <c:x val="0.38996404623569264"/>
          <c:y val="2.36336743261068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Graficas!$N$1</c:f>
              <c:strCache>
                <c:ptCount val="1"/>
                <c:pt idx="0">
                  <c:v>ETH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Graficas!$M$2:$M$9</c:f>
              <c:strCache>
                <c:ptCount val="8"/>
                <c:pt idx="0">
                  <c:v>Sept</c:v>
                </c:pt>
                <c:pt idx="1">
                  <c:v>Oct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Graficas!$N$2:$N$9</c:f>
              <c:numCache>
                <c:formatCode>General</c:formatCode>
                <c:ptCount val="8"/>
                <c:pt idx="0">
                  <c:v>14.718487660000001</c:v>
                </c:pt>
                <c:pt idx="1">
                  <c:v>14.953732980000002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6-4B43-8588-AACD2CBE1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4938016"/>
        <c:axId val="244932136"/>
      </c:barChart>
      <c:catAx>
        <c:axId val="24493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932136"/>
        <c:crosses val="autoZero"/>
        <c:auto val="1"/>
        <c:lblAlgn val="ctr"/>
        <c:lblOffset val="100"/>
        <c:noMultiLvlLbl val="0"/>
      </c:catAx>
      <c:valAx>
        <c:axId val="24493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93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Trade  Ganados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Graficas!$B$23</c:f>
              <c:strCache>
                <c:ptCount val="1"/>
                <c:pt idx="0">
                  <c:v>Porcentaje Trade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Graficas!$A$24:$A$31</c:f>
              <c:strCache>
                <c:ptCount val="8"/>
                <c:pt idx="0">
                  <c:v>Sept</c:v>
                </c:pt>
                <c:pt idx="1">
                  <c:v>Oct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Graficas!$B$24:$B$31</c:f>
              <c:numCache>
                <c:formatCode>0%</c:formatCode>
                <c:ptCount val="8"/>
                <c:pt idx="0">
                  <c:v>0.81521739130434789</c:v>
                </c:pt>
                <c:pt idx="1">
                  <c:v>0.84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1-4185-A026-E3E4000B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4934488"/>
        <c:axId val="244937624"/>
      </c:barChart>
      <c:catAx>
        <c:axId val="24493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937624"/>
        <c:crosses val="autoZero"/>
        <c:auto val="1"/>
        <c:lblAlgn val="ctr"/>
        <c:lblOffset val="100"/>
        <c:noMultiLvlLbl val="0"/>
      </c:catAx>
      <c:valAx>
        <c:axId val="244937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93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Ganancia en Trading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Graficas!$N$23</c:f>
              <c:strCache>
                <c:ptCount val="1"/>
                <c:pt idx="0">
                  <c:v>Porcentaje Trade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Graficas!$M$24:$M$31</c:f>
              <c:strCache>
                <c:ptCount val="8"/>
                <c:pt idx="0">
                  <c:v>Sept</c:v>
                </c:pt>
                <c:pt idx="1">
                  <c:v>Oct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Graficas!$N$24:$N$31</c:f>
              <c:numCache>
                <c:formatCode>0%</c:formatCode>
                <c:ptCount val="8"/>
                <c:pt idx="0">
                  <c:v>4.850785340314137</c:v>
                </c:pt>
                <c:pt idx="1">
                  <c:v>3.9780876494023905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9-43A3-83E1-DF08A95B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4936840"/>
        <c:axId val="244936056"/>
      </c:barChart>
      <c:catAx>
        <c:axId val="24493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936056"/>
        <c:crosses val="autoZero"/>
        <c:auto val="1"/>
        <c:lblAlgn val="ctr"/>
        <c:lblOffset val="100"/>
        <c:noMultiLvlLbl val="0"/>
      </c:catAx>
      <c:valAx>
        <c:axId val="24493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936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0</xdr:row>
      <xdr:rowOff>0</xdr:rowOff>
    </xdr:from>
    <xdr:to>
      <xdr:col>10</xdr:col>
      <xdr:colOff>495300</xdr:colOff>
      <xdr:row>18</xdr:row>
      <xdr:rowOff>14288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85724</xdr:colOff>
      <xdr:row>0</xdr:row>
      <xdr:rowOff>0</xdr:rowOff>
    </xdr:from>
    <xdr:to>
      <xdr:col>23</xdr:col>
      <xdr:colOff>76200</xdr:colOff>
      <xdr:row>17</xdr:row>
      <xdr:rowOff>176214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441327</xdr:colOff>
      <xdr:row>2</xdr:row>
      <xdr:rowOff>69850</xdr:rowOff>
    </xdr:from>
    <xdr:to>
      <xdr:col>16</xdr:col>
      <xdr:colOff>469900</xdr:colOff>
      <xdr:row>16</xdr:row>
      <xdr:rowOff>172234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1337927" y="450850"/>
          <a:ext cx="28573" cy="27693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66674</xdr:colOff>
      <xdr:row>18</xdr:row>
      <xdr:rowOff>131761</xdr:rowOff>
    </xdr:from>
    <xdr:to>
      <xdr:col>10</xdr:col>
      <xdr:colOff>504825</xdr:colOff>
      <xdr:row>38</xdr:row>
      <xdr:rowOff>41275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79374</xdr:colOff>
      <xdr:row>18</xdr:row>
      <xdr:rowOff>138112</xdr:rowOff>
    </xdr:from>
    <xdr:to>
      <xdr:col>23</xdr:col>
      <xdr:colOff>50799</xdr:colOff>
      <xdr:row>37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492127</xdr:colOff>
      <xdr:row>22</xdr:row>
      <xdr:rowOff>6350</xdr:rowOff>
    </xdr:from>
    <xdr:to>
      <xdr:col>16</xdr:col>
      <xdr:colOff>520700</xdr:colOff>
      <xdr:row>36</xdr:row>
      <xdr:rowOff>108734</xdr:rowOff>
    </xdr:to>
    <xdr:cxnSp macro="">
      <xdr:nvCxnSpPr>
        <xdr:cNvPr id="8" name="Straight Connector 3">
          <a:extLst>
            <a:ext uri="{FF2B5EF4-FFF2-40B4-BE49-F238E27FC236}">
              <a16:creationId xmlns:a16="http://schemas.microsoft.com/office/drawing/2014/main" id="{0BD32649-FBED-8748-8CA8-D84CF15560B4}"/>
            </a:ext>
          </a:extLst>
        </xdr:cNvPr>
        <xdr:cNvCxnSpPr/>
      </xdr:nvCxnSpPr>
      <xdr:spPr>
        <a:xfrm flipH="1">
          <a:off x="11388727" y="4197350"/>
          <a:ext cx="28573" cy="27693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339727</xdr:colOff>
      <xdr:row>22</xdr:row>
      <xdr:rowOff>44450</xdr:rowOff>
    </xdr:from>
    <xdr:to>
      <xdr:col>4</xdr:col>
      <xdr:colOff>368300</xdr:colOff>
      <xdr:row>36</xdr:row>
      <xdr:rowOff>146834</xdr:rowOff>
    </xdr:to>
    <xdr:cxnSp macro="">
      <xdr:nvCxnSpPr>
        <xdr:cNvPr id="9" name="Straight Connector 3">
          <a:extLst>
            <a:ext uri="{FF2B5EF4-FFF2-40B4-BE49-F238E27FC236}">
              <a16:creationId xmlns:a16="http://schemas.microsoft.com/office/drawing/2014/main" id="{DE22BFFA-A131-544B-ACBB-B3DEC709EC39}"/>
            </a:ext>
          </a:extLst>
        </xdr:cNvPr>
        <xdr:cNvCxnSpPr/>
      </xdr:nvCxnSpPr>
      <xdr:spPr>
        <a:xfrm flipH="1">
          <a:off x="3159127" y="4235450"/>
          <a:ext cx="28573" cy="27693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0.2988</cdr:x>
      <cdr:y>0.11227</cdr:y>
    </cdr:from>
    <cdr:to>
      <cdr:x>0.30251</cdr:x>
      <cdr:y>0.99401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697C1D4-4E25-4501-88D1-CCE1D2AD8F5D}"/>
            </a:ext>
          </a:extLst>
        </cdr:cNvPr>
        <cdr:cNvCxnSpPr/>
      </cdr:nvCxnSpPr>
      <cdr:spPr>
        <a:xfrm xmlns:a="http://schemas.openxmlformats.org/drawingml/2006/main" flipH="1">
          <a:off x="1766466" y="386584"/>
          <a:ext cx="21933" cy="30360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347296</xdr:colOff>
      <xdr:row>23</xdr:row>
      <xdr:rowOff>66675</xdr:rowOff>
    </xdr:from>
    <xdr:to>
      <xdr:col>3</xdr:col>
      <xdr:colOff>733424</xdr:colOff>
      <xdr:row>27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42D6BD-5A3F-514B-BE7B-5BD832592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1496" y="4613275"/>
          <a:ext cx="1491028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23</xdr:row>
      <xdr:rowOff>57150</xdr:rowOff>
    </xdr:from>
    <xdr:to>
      <xdr:col>7</xdr:col>
      <xdr:colOff>152400</xdr:colOff>
      <xdr:row>28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F75835-F9B7-1941-9412-72A9BB0D2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4603750"/>
          <a:ext cx="1054100" cy="933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347296</xdr:colOff>
      <xdr:row>23</xdr:row>
      <xdr:rowOff>66675</xdr:rowOff>
    </xdr:from>
    <xdr:to>
      <xdr:col>3</xdr:col>
      <xdr:colOff>733424</xdr:colOff>
      <xdr:row>27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4E88D-2ADF-5E45-9A7A-B83391C4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1496" y="7089775"/>
          <a:ext cx="1491028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23</xdr:row>
      <xdr:rowOff>57150</xdr:rowOff>
    </xdr:from>
    <xdr:to>
      <xdr:col>7</xdr:col>
      <xdr:colOff>152400</xdr:colOff>
      <xdr:row>28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65EB01-17C1-344B-93A9-BA79EFDF8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7080250"/>
          <a:ext cx="1054100" cy="933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347296</xdr:colOff>
      <xdr:row>36</xdr:row>
      <xdr:rowOff>66675</xdr:rowOff>
    </xdr:from>
    <xdr:to>
      <xdr:col>3</xdr:col>
      <xdr:colOff>733424</xdr:colOff>
      <xdr:row>40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546" y="4210050"/>
          <a:ext cx="1348153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36</xdr:row>
      <xdr:rowOff>57150</xdr:rowOff>
    </xdr:from>
    <xdr:to>
      <xdr:col>7</xdr:col>
      <xdr:colOff>152400</xdr:colOff>
      <xdr:row>41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4200525"/>
          <a:ext cx="9334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1"/>
  <sheetViews>
    <sheetView workbookViewId="0">
      <selection activeCell="M19" sqref="M19"/>
    </sheetView>
  </sheetViews>
  <sheetFormatPr baseColWidth="10" defaultColWidth="8.83203125" defaultRowHeight="15"/>
  <cols>
    <col min="4" max="4" width="10.5" bestFit="1" customWidth="1"/>
  </cols>
  <sheetData>
    <row r="1" spans="1:14">
      <c r="A1" s="18" t="s">
        <v>0</v>
      </c>
      <c r="B1" s="18" t="s">
        <v>1</v>
      </c>
      <c r="M1" s="18" t="s">
        <v>0</v>
      </c>
      <c r="N1" s="18" t="s">
        <v>2</v>
      </c>
    </row>
    <row r="2" spans="1:14">
      <c r="A2" s="4" t="s">
        <v>3</v>
      </c>
      <c r="B2" s="4">
        <v>4035</v>
      </c>
      <c r="M2" s="4" t="s">
        <v>3</v>
      </c>
      <c r="N2" s="4">
        <v>14.718487660000001</v>
      </c>
    </row>
    <row r="3" spans="1:14">
      <c r="A3" s="4" t="s">
        <v>4</v>
      </c>
      <c r="B3" s="4">
        <v>2686</v>
      </c>
      <c r="M3" s="4" t="s">
        <v>4</v>
      </c>
      <c r="N3" s="4">
        <v>14.953732980000002</v>
      </c>
    </row>
    <row r="4" spans="1:14">
      <c r="A4" s="4" t="s">
        <v>5</v>
      </c>
      <c r="B4" s="4">
        <v>0</v>
      </c>
      <c r="M4" s="4" t="s">
        <v>5</v>
      </c>
      <c r="N4" s="4">
        <v>0</v>
      </c>
    </row>
    <row r="5" spans="1:14">
      <c r="A5" s="4" t="s">
        <v>6</v>
      </c>
      <c r="B5" s="4"/>
      <c r="M5" s="4" t="s">
        <v>6</v>
      </c>
      <c r="N5" s="4"/>
    </row>
    <row r="6" spans="1:14">
      <c r="A6" s="4" t="s">
        <v>77</v>
      </c>
      <c r="B6" s="4"/>
      <c r="M6" s="4" t="s">
        <v>77</v>
      </c>
      <c r="N6" s="4"/>
    </row>
    <row r="7" spans="1:14">
      <c r="A7" s="4" t="s">
        <v>78</v>
      </c>
      <c r="B7" s="4"/>
      <c r="M7" s="4" t="s">
        <v>78</v>
      </c>
      <c r="N7" s="4"/>
    </row>
    <row r="8" spans="1:14">
      <c r="A8" s="4" t="s">
        <v>79</v>
      </c>
      <c r="B8" s="4"/>
      <c r="M8" s="4" t="s">
        <v>79</v>
      </c>
      <c r="N8" s="4"/>
    </row>
    <row r="9" spans="1:14">
      <c r="A9" s="4" t="s">
        <v>80</v>
      </c>
      <c r="B9" s="4"/>
      <c r="M9" s="4" t="s">
        <v>80</v>
      </c>
      <c r="N9" s="4"/>
    </row>
    <row r="23" spans="1:16">
      <c r="A23" s="18" t="s">
        <v>0</v>
      </c>
      <c r="B23" s="4" t="s">
        <v>7</v>
      </c>
      <c r="C23" s="18" t="s">
        <v>8</v>
      </c>
      <c r="D23" s="4" t="s">
        <v>9</v>
      </c>
      <c r="M23" s="18" t="s">
        <v>0</v>
      </c>
      <c r="N23" s="4" t="s">
        <v>7</v>
      </c>
      <c r="O23" s="18" t="s">
        <v>10</v>
      </c>
      <c r="P23" s="4" t="s">
        <v>11</v>
      </c>
    </row>
    <row r="24" spans="1:16">
      <c r="A24" s="4" t="s">
        <v>3</v>
      </c>
      <c r="B24" s="5">
        <f>1-(D24/C24)</f>
        <v>0.81521739130434789</v>
      </c>
      <c r="C24" s="4">
        <f>12+7+8+2+2+19+2+5+15+6+14</f>
        <v>92</v>
      </c>
      <c r="D24" s="4">
        <f>3+3+3+1+3+2+2</f>
        <v>17</v>
      </c>
      <c r="M24" s="4" t="s">
        <v>3</v>
      </c>
      <c r="N24" s="5">
        <f>+P24/O24</f>
        <v>4.850785340314137</v>
      </c>
      <c r="O24" s="4">
        <v>3.82</v>
      </c>
      <c r="P24" s="4">
        <v>18.53</v>
      </c>
    </row>
    <row r="25" spans="1:16">
      <c r="A25" s="4" t="s">
        <v>4</v>
      </c>
      <c r="B25" s="5">
        <f>1-(D25/C25)</f>
        <v>0.84</v>
      </c>
      <c r="C25" s="4">
        <f>14+5+6</f>
        <v>25</v>
      </c>
      <c r="D25" s="4">
        <v>4</v>
      </c>
      <c r="M25" s="4" t="s">
        <v>4</v>
      </c>
      <c r="N25" s="5">
        <f>+P25/O25</f>
        <v>3.9780876494023905</v>
      </c>
      <c r="O25" s="4">
        <v>5.0199999999999996</v>
      </c>
      <c r="P25" s="4">
        <v>19.97</v>
      </c>
    </row>
    <row r="26" spans="1:16">
      <c r="A26" s="4" t="s">
        <v>5</v>
      </c>
      <c r="B26" s="4">
        <v>0</v>
      </c>
      <c r="C26" s="4"/>
      <c r="D26" s="4"/>
      <c r="M26" s="4" t="s">
        <v>5</v>
      </c>
      <c r="N26" s="4">
        <v>0</v>
      </c>
      <c r="O26" s="4"/>
      <c r="P26" s="4"/>
    </row>
    <row r="27" spans="1:16">
      <c r="A27" s="4" t="s">
        <v>6</v>
      </c>
      <c r="B27" s="4"/>
      <c r="C27" s="4"/>
      <c r="D27" s="4"/>
      <c r="M27" s="4" t="s">
        <v>6</v>
      </c>
      <c r="N27" s="4"/>
      <c r="O27" s="4"/>
      <c r="P27" s="4"/>
    </row>
    <row r="28" spans="1:16">
      <c r="A28" s="4" t="s">
        <v>77</v>
      </c>
      <c r="B28" s="4"/>
      <c r="C28" s="4"/>
      <c r="D28" s="4"/>
      <c r="M28" s="4" t="s">
        <v>77</v>
      </c>
      <c r="N28" s="4"/>
      <c r="O28" s="4"/>
      <c r="P28" s="4"/>
    </row>
    <row r="29" spans="1:16">
      <c r="A29" s="4" t="s">
        <v>78</v>
      </c>
      <c r="B29" s="4"/>
      <c r="C29" s="4"/>
      <c r="D29" s="4"/>
      <c r="M29" s="4" t="s">
        <v>78</v>
      </c>
      <c r="N29" s="4"/>
      <c r="O29" s="4"/>
      <c r="P29" s="4"/>
    </row>
    <row r="30" spans="1:16">
      <c r="A30" s="4" t="s">
        <v>79</v>
      </c>
      <c r="B30" s="4"/>
      <c r="C30" s="4"/>
      <c r="D30" s="4"/>
      <c r="M30" s="4" t="s">
        <v>79</v>
      </c>
      <c r="N30" s="4"/>
      <c r="O30" s="4"/>
      <c r="P30" s="4"/>
    </row>
    <row r="31" spans="1:16">
      <c r="A31" s="4" t="s">
        <v>80</v>
      </c>
      <c r="B31" s="4"/>
      <c r="C31" s="4"/>
      <c r="D31" s="4"/>
      <c r="M31" s="4" t="s">
        <v>80</v>
      </c>
      <c r="N31" s="4"/>
      <c r="O31" s="4"/>
      <c r="P31" s="4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30"/>
  <sheetViews>
    <sheetView workbookViewId="0">
      <selection activeCell="J7" sqref="J7"/>
    </sheetView>
  </sheetViews>
  <sheetFormatPr baseColWidth="10" defaultColWidth="8.83203125" defaultRowHeight="15"/>
  <cols>
    <col min="1" max="2" width="13" customWidth="1"/>
    <col min="3" max="3" width="14" customWidth="1"/>
    <col min="4" max="5" width="17" customWidth="1"/>
    <col min="6" max="6" width="18.33203125" customWidth="1"/>
    <col min="7" max="9" width="17" customWidth="1"/>
    <col min="10" max="10" width="41.1640625" customWidth="1"/>
    <col min="13" max="13" width="17" customWidth="1"/>
    <col min="14" max="14" width="9.1640625" bestFit="1" customWidth="1"/>
    <col min="17" max="17" width="12.5" bestFit="1" customWidth="1"/>
  </cols>
  <sheetData>
    <row r="1" spans="1:17">
      <c r="M1" t="s">
        <v>12</v>
      </c>
      <c r="O1" t="s">
        <v>13</v>
      </c>
      <c r="P1" t="s">
        <v>2</v>
      </c>
      <c r="Q1">
        <f>+M5+M10</f>
        <v>0</v>
      </c>
    </row>
    <row r="2" spans="1:17">
      <c r="P2" t="s">
        <v>14</v>
      </c>
      <c r="Q2" s="17">
        <f>+M6+M11</f>
        <v>0</v>
      </c>
    </row>
    <row r="3" spans="1:17" ht="20" thickBot="1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74</v>
      </c>
      <c r="G3" s="12" t="s">
        <v>20</v>
      </c>
      <c r="H3" s="12" t="s">
        <v>21</v>
      </c>
      <c r="I3" s="12" t="s">
        <v>72</v>
      </c>
      <c r="J3" s="12" t="s">
        <v>22</v>
      </c>
    </row>
    <row r="4" spans="1:17">
      <c r="A4" s="51">
        <v>43521</v>
      </c>
      <c r="B4" s="52">
        <v>43499</v>
      </c>
      <c r="C4" s="53">
        <v>10</v>
      </c>
      <c r="D4" s="53">
        <v>11.007999999999999</v>
      </c>
      <c r="E4" s="54">
        <f>+D4-C4</f>
        <v>1.0079999999999991</v>
      </c>
      <c r="F4" s="55">
        <f>E4/C4</f>
        <v>0.10079999999999992</v>
      </c>
      <c r="G4" s="53">
        <v>0</v>
      </c>
      <c r="H4" s="53" t="s">
        <v>2</v>
      </c>
      <c r="I4" s="56">
        <v>2561</v>
      </c>
      <c r="J4" s="57" t="s">
        <v>68</v>
      </c>
    </row>
    <row r="5" spans="1:17">
      <c r="A5" s="58">
        <v>43527</v>
      </c>
      <c r="B5" s="13">
        <v>43533.9</v>
      </c>
      <c r="C5" s="3">
        <v>11.007999999999999</v>
      </c>
      <c r="D5" s="3">
        <v>13.167999999999999</v>
      </c>
      <c r="E5" s="19">
        <f>+D5-C5</f>
        <v>2.16</v>
      </c>
      <c r="F5" s="42">
        <f>E5/C5</f>
        <v>0.19622093023255816</v>
      </c>
      <c r="G5" s="40">
        <v>1</v>
      </c>
      <c r="H5" s="3" t="s">
        <v>2</v>
      </c>
      <c r="I5" s="41">
        <v>2616</v>
      </c>
      <c r="J5" s="59" t="s">
        <v>73</v>
      </c>
    </row>
    <row r="6" spans="1:17">
      <c r="A6" s="58">
        <v>43534</v>
      </c>
      <c r="B6" s="13">
        <f>B5+7</f>
        <v>43540.9</v>
      </c>
      <c r="C6" s="3">
        <v>12.167999999999999</v>
      </c>
      <c r="D6" s="3">
        <f>15.689+G6</f>
        <v>15.888999999999999</v>
      </c>
      <c r="E6" s="19">
        <f>D6-C6</f>
        <v>3.7210000000000001</v>
      </c>
      <c r="F6" s="19"/>
      <c r="G6" s="3">
        <v>0.2</v>
      </c>
      <c r="H6" s="3" t="s">
        <v>2</v>
      </c>
      <c r="I6" s="16"/>
      <c r="J6" s="60" t="s">
        <v>24</v>
      </c>
    </row>
    <row r="7" spans="1:17">
      <c r="A7" s="58">
        <f>A6+7</f>
        <v>43541</v>
      </c>
      <c r="B7" s="13">
        <f>B6+7</f>
        <v>43547.9</v>
      </c>
      <c r="C7" s="3"/>
      <c r="D7" s="3"/>
      <c r="E7" s="19">
        <f>D7-C7</f>
        <v>0</v>
      </c>
      <c r="F7" s="19"/>
      <c r="G7" s="3"/>
      <c r="H7" s="3" t="s">
        <v>2</v>
      </c>
      <c r="I7" s="16"/>
      <c r="J7" s="60"/>
    </row>
    <row r="8" spans="1:17" ht="16" thickBot="1">
      <c r="A8" s="61">
        <f>A7+7</f>
        <v>43548</v>
      </c>
      <c r="B8" s="62">
        <f t="shared" ref="B8:B29" si="0">B7+7</f>
        <v>43554.9</v>
      </c>
      <c r="C8" s="63"/>
      <c r="D8" s="63"/>
      <c r="E8" s="64">
        <f>D8-C8</f>
        <v>0</v>
      </c>
      <c r="F8" s="64"/>
      <c r="G8" s="63"/>
      <c r="H8" s="63" t="s">
        <v>2</v>
      </c>
      <c r="I8" s="65"/>
      <c r="J8" s="66"/>
    </row>
    <row r="9" spans="1:17">
      <c r="A9" s="51">
        <f>A8+7</f>
        <v>43555</v>
      </c>
      <c r="B9" s="52">
        <f t="shared" si="0"/>
        <v>43561.9</v>
      </c>
      <c r="C9" s="53"/>
      <c r="D9" s="53"/>
      <c r="E9" s="54">
        <f>+D9-C9</f>
        <v>0</v>
      </c>
      <c r="F9" s="54"/>
      <c r="G9" s="53"/>
      <c r="H9" s="53" t="s">
        <v>2</v>
      </c>
      <c r="I9" s="56"/>
      <c r="J9" s="57"/>
    </row>
    <row r="10" spans="1:17">
      <c r="A10" s="58">
        <f>A9+7</f>
        <v>43562</v>
      </c>
      <c r="B10" s="13">
        <f t="shared" si="0"/>
        <v>43568.9</v>
      </c>
      <c r="C10" s="3"/>
      <c r="D10" s="3"/>
      <c r="E10" s="19">
        <f>+D10-C10</f>
        <v>0</v>
      </c>
      <c r="F10" s="19"/>
      <c r="G10" s="3"/>
      <c r="H10" s="3" t="s">
        <v>2</v>
      </c>
      <c r="I10" s="16"/>
      <c r="J10" s="60"/>
    </row>
    <row r="11" spans="1:17">
      <c r="A11" s="58">
        <f>A10+7</f>
        <v>43569</v>
      </c>
      <c r="B11" s="13">
        <f t="shared" si="0"/>
        <v>43575.9</v>
      </c>
      <c r="C11" s="3"/>
      <c r="D11" s="3"/>
      <c r="E11" s="19">
        <f>+D11-C11</f>
        <v>0</v>
      </c>
      <c r="F11" s="19"/>
      <c r="G11" s="3"/>
      <c r="H11" s="3" t="s">
        <v>2</v>
      </c>
      <c r="I11" s="16"/>
      <c r="J11" s="60"/>
    </row>
    <row r="12" spans="1:17" ht="16" thickBot="1">
      <c r="A12" s="61">
        <f>A11+7</f>
        <v>43576</v>
      </c>
      <c r="B12" s="62">
        <f t="shared" si="0"/>
        <v>43582.9</v>
      </c>
      <c r="C12" s="63"/>
      <c r="D12" s="63"/>
      <c r="E12" s="64">
        <f>+D12-C12</f>
        <v>0</v>
      </c>
      <c r="F12" s="64"/>
      <c r="G12" s="63"/>
      <c r="H12" s="63" t="s">
        <v>2</v>
      </c>
      <c r="I12" s="67"/>
      <c r="J12" s="66"/>
    </row>
    <row r="13" spans="1:17">
      <c r="A13" s="51">
        <f>A12+7</f>
        <v>43583</v>
      </c>
      <c r="B13" s="52">
        <f t="shared" si="0"/>
        <v>43589.9</v>
      </c>
      <c r="C13" s="68"/>
      <c r="D13" s="68"/>
      <c r="E13" s="54">
        <f t="shared" ref="E13:E29" si="1">+D13-C13</f>
        <v>0</v>
      </c>
      <c r="F13" s="54"/>
      <c r="G13" s="53"/>
      <c r="H13" s="53" t="s">
        <v>2</v>
      </c>
      <c r="I13" s="68"/>
      <c r="J13" s="57"/>
    </row>
    <row r="14" spans="1:17">
      <c r="A14" s="58">
        <f>A13+7</f>
        <v>43590</v>
      </c>
      <c r="B14" s="13">
        <f t="shared" si="0"/>
        <v>43596.9</v>
      </c>
      <c r="C14" s="4"/>
      <c r="D14" s="4"/>
      <c r="E14" s="19">
        <f t="shared" si="1"/>
        <v>0</v>
      </c>
      <c r="F14" s="19"/>
      <c r="G14" s="3"/>
      <c r="H14" s="3" t="s">
        <v>2</v>
      </c>
      <c r="I14" s="4"/>
      <c r="J14" s="60"/>
    </row>
    <row r="15" spans="1:17">
      <c r="A15" s="58">
        <f>A14+7</f>
        <v>43597</v>
      </c>
      <c r="B15" s="13">
        <f t="shared" si="0"/>
        <v>43603.9</v>
      </c>
      <c r="C15" s="4"/>
      <c r="D15" s="4"/>
      <c r="E15" s="19">
        <f t="shared" si="1"/>
        <v>0</v>
      </c>
      <c r="F15" s="19"/>
      <c r="G15" s="3"/>
      <c r="H15" s="3" t="s">
        <v>2</v>
      </c>
      <c r="I15" s="4"/>
      <c r="J15" s="60"/>
    </row>
    <row r="16" spans="1:17">
      <c r="A16" s="58">
        <f>A15+7</f>
        <v>43604</v>
      </c>
      <c r="B16" s="13">
        <f t="shared" si="0"/>
        <v>43610.9</v>
      </c>
      <c r="C16" s="3"/>
      <c r="D16" s="3"/>
      <c r="E16" s="19">
        <f t="shared" si="1"/>
        <v>0</v>
      </c>
      <c r="F16" s="19"/>
      <c r="G16" s="3"/>
      <c r="H16" s="3" t="s">
        <v>2</v>
      </c>
      <c r="I16" s="16"/>
      <c r="J16" s="60"/>
    </row>
    <row r="17" spans="1:10" ht="16" thickBot="1">
      <c r="A17" s="61">
        <f>A16+7</f>
        <v>43611</v>
      </c>
      <c r="B17" s="62">
        <f t="shared" si="0"/>
        <v>43617.9</v>
      </c>
      <c r="C17" s="69"/>
      <c r="D17" s="69"/>
      <c r="E17" s="64">
        <f t="shared" si="1"/>
        <v>0</v>
      </c>
      <c r="F17" s="64"/>
      <c r="G17" s="63"/>
      <c r="H17" s="63" t="s">
        <v>2</v>
      </c>
      <c r="I17" s="69"/>
      <c r="J17" s="66"/>
    </row>
    <row r="18" spans="1:10">
      <c r="A18" s="51">
        <f>A17+7</f>
        <v>43618</v>
      </c>
      <c r="B18" s="52">
        <f t="shared" si="0"/>
        <v>43624.9</v>
      </c>
      <c r="C18" s="68"/>
      <c r="D18" s="68"/>
      <c r="E18" s="54">
        <f t="shared" si="1"/>
        <v>0</v>
      </c>
      <c r="F18" s="54"/>
      <c r="G18" s="53"/>
      <c r="H18" s="53" t="s">
        <v>2</v>
      </c>
      <c r="I18" s="68"/>
      <c r="J18" s="57"/>
    </row>
    <row r="19" spans="1:10">
      <c r="A19" s="58">
        <f>A18+7</f>
        <v>43625</v>
      </c>
      <c r="B19" s="13">
        <f t="shared" si="0"/>
        <v>43631.9</v>
      </c>
      <c r="C19" s="4"/>
      <c r="D19" s="4"/>
      <c r="E19" s="19">
        <f t="shared" si="1"/>
        <v>0</v>
      </c>
      <c r="F19" s="19"/>
      <c r="G19" s="3"/>
      <c r="H19" s="3" t="s">
        <v>2</v>
      </c>
      <c r="I19" s="4"/>
      <c r="J19" s="60"/>
    </row>
    <row r="20" spans="1:10">
      <c r="A20" s="58">
        <f>A19+7</f>
        <v>43632</v>
      </c>
      <c r="B20" s="13">
        <f t="shared" si="0"/>
        <v>43638.9</v>
      </c>
      <c r="C20" s="4"/>
      <c r="D20" s="4"/>
      <c r="E20" s="19">
        <f t="shared" si="1"/>
        <v>0</v>
      </c>
      <c r="F20" s="19"/>
      <c r="G20" s="3"/>
      <c r="H20" s="3" t="s">
        <v>2</v>
      </c>
      <c r="I20" s="4"/>
      <c r="J20" s="60"/>
    </row>
    <row r="21" spans="1:10" ht="16" thickBot="1">
      <c r="A21" s="61">
        <f>A20+7</f>
        <v>43639</v>
      </c>
      <c r="B21" s="62">
        <f t="shared" si="0"/>
        <v>43645.9</v>
      </c>
      <c r="C21" s="69"/>
      <c r="D21" s="69"/>
      <c r="E21" s="64">
        <f t="shared" si="1"/>
        <v>0</v>
      </c>
      <c r="F21" s="64"/>
      <c r="G21" s="63"/>
      <c r="H21" s="63" t="s">
        <v>2</v>
      </c>
      <c r="I21" s="69"/>
      <c r="J21" s="66"/>
    </row>
    <row r="22" spans="1:10">
      <c r="A22" s="51">
        <f>A21+7</f>
        <v>43646</v>
      </c>
      <c r="B22" s="52">
        <f t="shared" si="0"/>
        <v>43652.9</v>
      </c>
      <c r="C22" s="68"/>
      <c r="D22" s="68"/>
      <c r="E22" s="54">
        <f t="shared" si="1"/>
        <v>0</v>
      </c>
      <c r="F22" s="54"/>
      <c r="G22" s="53"/>
      <c r="H22" s="53" t="s">
        <v>2</v>
      </c>
      <c r="I22" s="68"/>
      <c r="J22" s="57"/>
    </row>
    <row r="23" spans="1:10">
      <c r="A23" s="58">
        <f>A22+7</f>
        <v>43653</v>
      </c>
      <c r="B23" s="13">
        <f t="shared" si="0"/>
        <v>43659.9</v>
      </c>
      <c r="C23" s="4"/>
      <c r="D23" s="4"/>
      <c r="E23" s="19">
        <f t="shared" si="1"/>
        <v>0</v>
      </c>
      <c r="F23" s="19"/>
      <c r="G23" s="3"/>
      <c r="H23" s="3" t="s">
        <v>2</v>
      </c>
      <c r="I23" s="4"/>
      <c r="J23" s="60"/>
    </row>
    <row r="24" spans="1:10">
      <c r="A24" s="58">
        <f t="shared" ref="A24:A29" si="2">A23+7</f>
        <v>43660</v>
      </c>
      <c r="B24" s="13">
        <f t="shared" si="0"/>
        <v>43666.9</v>
      </c>
      <c r="C24" s="4"/>
      <c r="D24" s="4"/>
      <c r="E24" s="19">
        <f t="shared" si="1"/>
        <v>0</v>
      </c>
      <c r="F24" s="19"/>
      <c r="G24" s="3"/>
      <c r="H24" s="3" t="s">
        <v>2</v>
      </c>
      <c r="I24" s="4"/>
      <c r="J24" s="60"/>
    </row>
    <row r="25" spans="1:10" ht="16" thickBot="1">
      <c r="A25" s="61">
        <f t="shared" si="2"/>
        <v>43667</v>
      </c>
      <c r="B25" s="62">
        <f t="shared" si="0"/>
        <v>43673.9</v>
      </c>
      <c r="C25" s="69"/>
      <c r="D25" s="69"/>
      <c r="E25" s="64">
        <f t="shared" si="1"/>
        <v>0</v>
      </c>
      <c r="F25" s="64"/>
      <c r="G25" s="63"/>
      <c r="H25" s="63" t="s">
        <v>2</v>
      </c>
      <c r="I25" s="69"/>
      <c r="J25" s="66"/>
    </row>
    <row r="26" spans="1:10">
      <c r="A26" s="51">
        <f t="shared" si="2"/>
        <v>43674</v>
      </c>
      <c r="B26" s="52">
        <f t="shared" si="0"/>
        <v>43680.9</v>
      </c>
      <c r="C26" s="68"/>
      <c r="D26" s="68"/>
      <c r="E26" s="54">
        <f t="shared" si="1"/>
        <v>0</v>
      </c>
      <c r="F26" s="54"/>
      <c r="G26" s="53"/>
      <c r="H26" s="53" t="s">
        <v>2</v>
      </c>
      <c r="I26" s="68"/>
      <c r="J26" s="57"/>
    </row>
    <row r="27" spans="1:10">
      <c r="A27" s="58">
        <f t="shared" si="2"/>
        <v>43681</v>
      </c>
      <c r="B27" s="13">
        <f t="shared" si="0"/>
        <v>43687.9</v>
      </c>
      <c r="C27" s="4"/>
      <c r="D27" s="4"/>
      <c r="E27" s="19">
        <f t="shared" si="1"/>
        <v>0</v>
      </c>
      <c r="F27" s="19"/>
      <c r="G27" s="3"/>
      <c r="H27" s="3" t="s">
        <v>2</v>
      </c>
      <c r="I27" s="4"/>
      <c r="J27" s="60"/>
    </row>
    <row r="28" spans="1:10">
      <c r="A28" s="58">
        <f t="shared" si="2"/>
        <v>43688</v>
      </c>
      <c r="B28" s="13">
        <f t="shared" si="0"/>
        <v>43694.9</v>
      </c>
      <c r="C28" s="4"/>
      <c r="D28" s="4"/>
      <c r="E28" s="19">
        <f t="shared" si="1"/>
        <v>0</v>
      </c>
      <c r="F28" s="19"/>
      <c r="G28" s="3"/>
      <c r="H28" s="3" t="s">
        <v>2</v>
      </c>
      <c r="I28" s="4"/>
      <c r="J28" s="60"/>
    </row>
    <row r="29" spans="1:10">
      <c r="A29" s="58">
        <f t="shared" si="2"/>
        <v>43695</v>
      </c>
      <c r="B29" s="13">
        <f t="shared" si="0"/>
        <v>43701.9</v>
      </c>
      <c r="C29" s="4"/>
      <c r="D29" s="4"/>
      <c r="E29" s="19">
        <f t="shared" si="1"/>
        <v>0</v>
      </c>
      <c r="F29" s="19"/>
      <c r="G29" s="3"/>
      <c r="H29" s="3" t="s">
        <v>2</v>
      </c>
      <c r="I29" s="4"/>
      <c r="J29" s="60"/>
    </row>
    <row r="30" spans="1:10" ht="16" thickBot="1">
      <c r="A30" s="61">
        <f t="shared" ref="A30" si="3">A29+7</f>
        <v>43702</v>
      </c>
      <c r="B30" s="62">
        <f t="shared" ref="B30" si="4">B29+7</f>
        <v>43708.9</v>
      </c>
      <c r="C30" s="69"/>
      <c r="D30" s="69"/>
      <c r="E30" s="64">
        <f t="shared" ref="E30" si="5">+D30-C30</f>
        <v>0</v>
      </c>
      <c r="F30" s="64"/>
      <c r="G30" s="63"/>
      <c r="H30" s="63" t="s">
        <v>2</v>
      </c>
      <c r="I30" s="69"/>
      <c r="J30" s="6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CB45-F260-064F-BDC9-CA36A176E6A8}">
  <dimension ref="A1:Z40"/>
  <sheetViews>
    <sheetView tabSelected="1" workbookViewId="0">
      <pane ySplit="2" topLeftCell="A3" activePane="bottomLeft" state="frozen"/>
      <selection pane="bottomLeft" activeCell="J18" sqref="J18"/>
    </sheetView>
  </sheetViews>
  <sheetFormatPr baseColWidth="10" defaultColWidth="8.83203125" defaultRowHeight="15"/>
  <cols>
    <col min="1" max="1" width="7" customWidth="1"/>
    <col min="2" max="2" width="17.33203125" style="1" customWidth="1"/>
    <col min="3" max="3" width="14.5" bestFit="1" customWidth="1"/>
    <col min="4" max="4" width="15" customWidth="1"/>
    <col min="5" max="5" width="0.33203125" style="1" customWidth="1"/>
    <col min="6" max="6" width="12.1640625" customWidth="1"/>
    <col min="7" max="7" width="0.6640625" customWidth="1"/>
    <col min="8" max="8" width="14" customWidth="1"/>
    <col min="9" max="9" width="0.83203125" customWidth="1"/>
    <col min="10" max="10" width="12" bestFit="1" customWidth="1"/>
    <col min="11" max="11" width="12.5" customWidth="1"/>
    <col min="12" max="12" width="16.5" style="1" customWidth="1"/>
    <col min="13" max="14" width="15.1640625" style="1" customWidth="1"/>
    <col min="15" max="15" width="20" style="1" customWidth="1"/>
    <col min="16" max="16" width="12" bestFit="1" customWidth="1"/>
    <col min="17" max="17" width="22.1640625" style="1" customWidth="1"/>
    <col min="18" max="18" width="12" bestFit="1" customWidth="1"/>
    <col min="19" max="19" width="9.5" customWidth="1"/>
  </cols>
  <sheetData>
    <row r="1" spans="1:26">
      <c r="B1" s="1" t="s">
        <v>25</v>
      </c>
      <c r="C1">
        <v>12.167999999999999</v>
      </c>
      <c r="D1" s="6" t="s">
        <v>2</v>
      </c>
      <c r="M1" s="3" t="s">
        <v>26</v>
      </c>
      <c r="N1" s="3" t="s">
        <v>27</v>
      </c>
      <c r="O1" s="3" t="s">
        <v>28</v>
      </c>
    </row>
    <row r="2" spans="1:26" ht="17">
      <c r="C2" s="8"/>
      <c r="H2" t="s">
        <v>29</v>
      </c>
      <c r="K2">
        <v>1</v>
      </c>
      <c r="L2" s="1" t="s">
        <v>30</v>
      </c>
      <c r="M2" s="3"/>
      <c r="N2" s="3">
        <f>+M2*K2</f>
        <v>0</v>
      </c>
      <c r="O2" s="3">
        <f>+N2*4</f>
        <v>0</v>
      </c>
    </row>
    <row r="3" spans="1:26" ht="24">
      <c r="B3" s="24" t="s">
        <v>51</v>
      </c>
      <c r="C3" s="8"/>
    </row>
    <row r="4" spans="1:26" ht="17">
      <c r="B4" s="10" t="s">
        <v>76</v>
      </c>
      <c r="C4" s="8"/>
    </row>
    <row r="5" spans="1:26">
      <c r="A5" s="20" t="s">
        <v>41</v>
      </c>
      <c r="B5" s="21" t="s">
        <v>21</v>
      </c>
      <c r="C5" s="21" t="s">
        <v>39</v>
      </c>
      <c r="D5" s="21" t="s">
        <v>40</v>
      </c>
      <c r="E5" s="20"/>
      <c r="F5" s="20" t="s">
        <v>42</v>
      </c>
      <c r="G5" s="20"/>
      <c r="H5" s="21" t="s">
        <v>31</v>
      </c>
      <c r="I5" s="20"/>
      <c r="J5" s="20" t="s">
        <v>43</v>
      </c>
      <c r="K5" s="20" t="s">
        <v>44</v>
      </c>
      <c r="L5" s="21" t="s">
        <v>45</v>
      </c>
      <c r="M5" s="21" t="s">
        <v>32</v>
      </c>
    </row>
    <row r="6" spans="1:26" s="1" customFormat="1">
      <c r="A6" s="32" t="s">
        <v>2</v>
      </c>
      <c r="B6" s="2" t="s">
        <v>64</v>
      </c>
      <c r="C6" s="32">
        <v>1.7059999999999999E-5</v>
      </c>
      <c r="D6" s="32">
        <v>1.8E-5</v>
      </c>
      <c r="E6" s="2">
        <f t="shared" ref="E6:E11" si="0">+D6-C6</f>
        <v>9.4000000000000116E-7</v>
      </c>
      <c r="F6" s="33">
        <f>+E6/D6</f>
        <v>5.2222222222222288E-2</v>
      </c>
      <c r="G6" s="32"/>
      <c r="H6" s="34">
        <v>25000</v>
      </c>
      <c r="I6" s="32"/>
      <c r="J6" s="2">
        <f>+H6*C6</f>
        <v>0.42649999999999999</v>
      </c>
      <c r="K6" s="2">
        <f>+H6*D6</f>
        <v>0.45</v>
      </c>
      <c r="L6" s="2"/>
      <c r="M6" s="35">
        <f>+K6-J6</f>
        <v>2.3500000000000021E-2</v>
      </c>
      <c r="N6" s="38">
        <f>SUM(M$6:M23)/$C$1</f>
        <v>0.40496383957922422</v>
      </c>
      <c r="P6"/>
      <c r="R6"/>
      <c r="S6"/>
      <c r="T6"/>
      <c r="U6"/>
      <c r="V6"/>
      <c r="W6"/>
      <c r="X6"/>
      <c r="Y6"/>
      <c r="Z6"/>
    </row>
    <row r="7" spans="1:26" s="1" customFormat="1">
      <c r="A7" s="32" t="s">
        <v>2</v>
      </c>
      <c r="B7" s="2" t="s">
        <v>71</v>
      </c>
      <c r="C7" s="32">
        <v>8.4910000000000003E-3</v>
      </c>
      <c r="D7" s="32">
        <v>8.9619999999999995E-3</v>
      </c>
      <c r="E7" s="2">
        <f>+D7-C7</f>
        <v>4.709999999999992E-4</v>
      </c>
      <c r="F7" s="33">
        <f>+E7/D7</f>
        <v>5.2555233206873379E-2</v>
      </c>
      <c r="G7" s="32"/>
      <c r="H7" s="34">
        <v>100</v>
      </c>
      <c r="I7" s="32"/>
      <c r="J7" s="2">
        <f>+H7*C7</f>
        <v>0.84910000000000008</v>
      </c>
      <c r="K7" s="2">
        <f>+H7*D7</f>
        <v>0.8962</v>
      </c>
      <c r="L7" s="2"/>
      <c r="M7" s="35">
        <f>+K7-J7</f>
        <v>4.709999999999992E-2</v>
      </c>
      <c r="N7" s="38">
        <f>SUM(M$6:M23)/$C$1</f>
        <v>0.40496383957922422</v>
      </c>
      <c r="P7"/>
      <c r="R7"/>
      <c r="S7"/>
      <c r="T7"/>
      <c r="U7"/>
      <c r="V7"/>
      <c r="W7"/>
      <c r="X7"/>
      <c r="Y7"/>
      <c r="Z7"/>
    </row>
    <row r="8" spans="1:26" s="1" customFormat="1">
      <c r="A8" s="43" t="s">
        <v>2</v>
      </c>
      <c r="B8" s="44" t="s">
        <v>63</v>
      </c>
      <c r="C8" s="43">
        <v>3.2000000000000001E-7</v>
      </c>
      <c r="D8" s="43">
        <v>3.1E-7</v>
      </c>
      <c r="E8" s="44">
        <f t="shared" ref="E8" si="1">+D8-C8</f>
        <v>-1.000000000000001E-8</v>
      </c>
      <c r="F8" s="45">
        <f>+E8/D8</f>
        <v>-3.2258064516129066E-2</v>
      </c>
      <c r="G8" s="43"/>
      <c r="H8" s="46">
        <v>800000</v>
      </c>
      <c r="I8" s="43"/>
      <c r="J8" s="44">
        <f>+H8*C8</f>
        <v>0.25600000000000001</v>
      </c>
      <c r="K8" s="44">
        <f>+H8*D8</f>
        <v>0.248</v>
      </c>
      <c r="L8" s="44"/>
      <c r="M8" s="44">
        <f>+K8-J8</f>
        <v>-8.0000000000000071E-3</v>
      </c>
      <c r="N8" s="38">
        <f>SUM(M$6:M24)/$C$1</f>
        <v>0.40496383957922422</v>
      </c>
      <c r="P8"/>
      <c r="R8"/>
      <c r="S8"/>
      <c r="T8"/>
      <c r="U8"/>
      <c r="V8"/>
      <c r="W8"/>
      <c r="X8"/>
      <c r="Y8"/>
      <c r="Z8"/>
    </row>
    <row r="9" spans="1:26" s="1" customFormat="1">
      <c r="A9" s="32" t="s">
        <v>2</v>
      </c>
      <c r="B9" s="2" t="s">
        <v>24</v>
      </c>
      <c r="C9" s="32">
        <v>7.5399999999999998E-6</v>
      </c>
      <c r="D9" s="32">
        <v>2.6999999999999999E-5</v>
      </c>
      <c r="E9" s="2">
        <f t="shared" si="0"/>
        <v>1.946E-5</v>
      </c>
      <c r="F9" s="33">
        <f t="shared" ref="F9:F17" si="2">+E9/D9</f>
        <v>0.72074074074074079</v>
      </c>
      <c r="G9" s="32"/>
      <c r="H9" s="34">
        <v>250000</v>
      </c>
      <c r="I9" s="32"/>
      <c r="J9" s="2">
        <f t="shared" ref="J9:J17" si="3">+H9*C9</f>
        <v>1.885</v>
      </c>
      <c r="K9" s="2">
        <f t="shared" ref="K9:K17" si="4">+H9*D9</f>
        <v>6.75</v>
      </c>
      <c r="L9" s="2"/>
      <c r="M9" s="35">
        <f>+K9-J9</f>
        <v>4.8650000000000002</v>
      </c>
      <c r="N9" s="38">
        <f>SUM(M$6:M23)/$C$1</f>
        <v>0.40496383957922422</v>
      </c>
      <c r="P9"/>
      <c r="Q9"/>
      <c r="R9"/>
      <c r="S9"/>
      <c r="T9"/>
      <c r="U9"/>
      <c r="V9"/>
      <c r="W9"/>
      <c r="X9"/>
      <c r="Y9"/>
      <c r="Z9"/>
    </row>
    <row r="10" spans="1:26" s="1" customFormat="1">
      <c r="A10" s="27" t="s">
        <v>2</v>
      </c>
      <c r="B10" s="28" t="s">
        <v>33</v>
      </c>
      <c r="C10" s="47">
        <v>2E-8</v>
      </c>
      <c r="D10" s="39">
        <v>2.9999999999999997E-8</v>
      </c>
      <c r="E10" s="28">
        <f t="shared" ref="E10" si="5">+D10-C10</f>
        <v>9.9999999999999969E-9</v>
      </c>
      <c r="F10" s="29">
        <f t="shared" ref="F10" si="6">+E10/D10</f>
        <v>0.33333333333333326</v>
      </c>
      <c r="G10" s="27"/>
      <c r="H10" s="39">
        <v>33000000</v>
      </c>
      <c r="I10" s="27"/>
      <c r="J10" s="28">
        <f t="shared" ref="J10" si="7">+H10*C10</f>
        <v>0.66</v>
      </c>
      <c r="K10" s="28">
        <f t="shared" ref="K10" si="8">+H10*D10</f>
        <v>0.98999999999999988</v>
      </c>
      <c r="L10" s="28">
        <f t="shared" ref="L10" si="9">+K10-J10</f>
        <v>0.32999999999999985</v>
      </c>
      <c r="M10" s="31"/>
      <c r="N10" s="38">
        <f>SUM(M$6:M23)/$C$1</f>
        <v>0.40496383957922422</v>
      </c>
      <c r="P10"/>
      <c r="Q10" s="48"/>
      <c r="R10"/>
      <c r="S10"/>
      <c r="T10"/>
      <c r="U10"/>
      <c r="V10"/>
      <c r="W10"/>
      <c r="X10"/>
      <c r="Y10"/>
      <c r="Z10"/>
    </row>
    <row r="11" spans="1:26" s="1" customFormat="1">
      <c r="A11" s="27" t="s">
        <v>2</v>
      </c>
      <c r="B11" s="28" t="s">
        <v>23</v>
      </c>
      <c r="C11" s="27">
        <v>1.5999999999999999E-5</v>
      </c>
      <c r="D11" s="27">
        <v>3.3000000000000003E-5</v>
      </c>
      <c r="E11" s="28">
        <f t="shared" si="0"/>
        <v>1.7000000000000003E-5</v>
      </c>
      <c r="F11" s="29">
        <f t="shared" si="2"/>
        <v>0.51515151515151525</v>
      </c>
      <c r="G11" s="27"/>
      <c r="H11" s="30">
        <v>50000</v>
      </c>
      <c r="I11" s="27"/>
      <c r="J11" s="28">
        <f t="shared" si="3"/>
        <v>0.79999999999999993</v>
      </c>
      <c r="K11" s="28">
        <f t="shared" si="4"/>
        <v>1.6500000000000001</v>
      </c>
      <c r="L11" s="28">
        <f t="shared" ref="L11:L17" si="10">+K11-J11</f>
        <v>0.8500000000000002</v>
      </c>
      <c r="M11" s="31"/>
      <c r="N11" s="38">
        <f>SUM(M$6:M24)/$C$1</f>
        <v>0.40496383957922422</v>
      </c>
      <c r="P11"/>
      <c r="R11"/>
      <c r="S11"/>
      <c r="T11"/>
      <c r="U11"/>
      <c r="V11"/>
      <c r="W11"/>
      <c r="X11"/>
      <c r="Y11"/>
      <c r="Z11"/>
    </row>
    <row r="12" spans="1:26" s="1" customFormat="1">
      <c r="A12" s="27" t="s">
        <v>2</v>
      </c>
      <c r="B12" s="28" t="s">
        <v>23</v>
      </c>
      <c r="C12" s="27">
        <v>1.0000000000000001E-5</v>
      </c>
      <c r="D12" s="27">
        <v>2.5999999999999998E-5</v>
      </c>
      <c r="E12" s="28">
        <f t="shared" ref="E12:E17" si="11">+D12-C12</f>
        <v>1.5999999999999996E-5</v>
      </c>
      <c r="F12" s="29">
        <f t="shared" si="2"/>
        <v>0.61538461538461531</v>
      </c>
      <c r="G12" s="27"/>
      <c r="H12" s="30">
        <v>93000</v>
      </c>
      <c r="I12" s="27"/>
      <c r="J12" s="28">
        <f t="shared" si="3"/>
        <v>0.93</v>
      </c>
      <c r="K12" s="28">
        <f t="shared" si="4"/>
        <v>2.4179999999999997</v>
      </c>
      <c r="L12" s="28">
        <f t="shared" si="10"/>
        <v>1.4879999999999995</v>
      </c>
      <c r="M12" s="31"/>
      <c r="N12" s="38">
        <f>SUM(M$6:M$23)/$C$1</f>
        <v>0.40496383957922422</v>
      </c>
      <c r="P12"/>
      <c r="R12"/>
      <c r="S12"/>
      <c r="T12"/>
      <c r="U12"/>
      <c r="V12"/>
      <c r="W12"/>
      <c r="X12"/>
      <c r="Y12"/>
      <c r="Z12"/>
    </row>
    <row r="13" spans="1:26" s="1" customFormat="1">
      <c r="A13" s="27" t="s">
        <v>2</v>
      </c>
      <c r="B13" s="28" t="s">
        <v>23</v>
      </c>
      <c r="C13" s="27">
        <v>3.9999999999999998E-6</v>
      </c>
      <c r="D13" s="27">
        <v>2.5999999999999998E-5</v>
      </c>
      <c r="E13" s="28">
        <f t="shared" ref="E13" si="12">+D13-C13</f>
        <v>2.1999999999999999E-5</v>
      </c>
      <c r="F13" s="29">
        <f t="shared" ref="F13" si="13">+E13/D13</f>
        <v>0.84615384615384615</v>
      </c>
      <c r="G13" s="27"/>
      <c r="H13" s="30">
        <v>200000</v>
      </c>
      <c r="I13" s="27"/>
      <c r="J13" s="28">
        <f t="shared" ref="J13" si="14">+H13*C13</f>
        <v>0.79999999999999993</v>
      </c>
      <c r="K13" s="28">
        <f t="shared" ref="K13" si="15">+H13*D13</f>
        <v>5.1999999999999993</v>
      </c>
      <c r="L13" s="28">
        <f t="shared" ref="L13" si="16">+K13-J13</f>
        <v>4.3999999999999995</v>
      </c>
      <c r="M13" s="31"/>
      <c r="N13" s="38">
        <f>SUM(M$6:M$23)/$C$1</f>
        <v>0.40496383957922422</v>
      </c>
      <c r="P13">
        <v>15.689</v>
      </c>
      <c r="R13"/>
      <c r="S13"/>
      <c r="T13"/>
      <c r="U13"/>
      <c r="V13"/>
      <c r="W13"/>
      <c r="X13"/>
      <c r="Y13"/>
      <c r="Z13"/>
    </row>
    <row r="14" spans="1:26" s="1" customFormat="1">
      <c r="A14" s="27" t="s">
        <v>2</v>
      </c>
      <c r="B14" s="28" t="s">
        <v>23</v>
      </c>
      <c r="C14" s="27">
        <v>6.6000000000000003E-6</v>
      </c>
      <c r="D14" s="27">
        <v>2.5999999999999998E-5</v>
      </c>
      <c r="E14" s="28">
        <f t="shared" si="11"/>
        <v>1.9399999999999997E-5</v>
      </c>
      <c r="F14" s="29">
        <f t="shared" si="2"/>
        <v>0.74615384615384606</v>
      </c>
      <c r="G14" s="27"/>
      <c r="H14" s="30">
        <v>200000</v>
      </c>
      <c r="I14" s="27"/>
      <c r="J14" s="28">
        <f t="shared" si="3"/>
        <v>1.32</v>
      </c>
      <c r="K14" s="28">
        <f t="shared" si="4"/>
        <v>5.1999999999999993</v>
      </c>
      <c r="L14" s="28">
        <f t="shared" si="10"/>
        <v>3.879999999999999</v>
      </c>
      <c r="M14" s="31"/>
      <c r="N14" s="38">
        <f>SUM(M$6:M$23)/$C$1</f>
        <v>0.40496383957922422</v>
      </c>
      <c r="P14">
        <v>1</v>
      </c>
      <c r="R14"/>
      <c r="S14"/>
      <c r="T14"/>
      <c r="U14"/>
      <c r="V14"/>
      <c r="W14"/>
      <c r="X14"/>
      <c r="Y14"/>
      <c r="Z14"/>
    </row>
    <row r="15" spans="1:26" s="1" customFormat="1">
      <c r="A15" s="27" t="s">
        <v>2</v>
      </c>
      <c r="B15" s="28" t="s">
        <v>37</v>
      </c>
      <c r="C15" s="27">
        <v>1.5999999999999999E-5</v>
      </c>
      <c r="D15" s="27">
        <v>3.4999999999999997E-5</v>
      </c>
      <c r="E15" s="28">
        <f t="shared" si="11"/>
        <v>1.8999999999999998E-5</v>
      </c>
      <c r="F15" s="29">
        <f t="shared" si="2"/>
        <v>0.54285714285714282</v>
      </c>
      <c r="G15" s="27"/>
      <c r="H15" s="30">
        <v>10000</v>
      </c>
      <c r="I15" s="27"/>
      <c r="J15" s="28">
        <f t="shared" si="3"/>
        <v>0.16</v>
      </c>
      <c r="K15" s="28">
        <f t="shared" si="4"/>
        <v>0.35</v>
      </c>
      <c r="L15" s="28">
        <f t="shared" si="10"/>
        <v>0.18999999999999997</v>
      </c>
      <c r="M15" s="31"/>
      <c r="N15" s="38">
        <f>SUM(M$6:M$23)/$C$1</f>
        <v>0.40496383957922422</v>
      </c>
      <c r="P15">
        <v>0.2</v>
      </c>
      <c r="R15"/>
      <c r="S15"/>
      <c r="T15"/>
      <c r="U15"/>
      <c r="V15"/>
      <c r="W15"/>
      <c r="X15"/>
      <c r="Y15"/>
      <c r="Z15"/>
    </row>
    <row r="16" spans="1:26" s="1" customFormat="1">
      <c r="A16" s="27" t="s">
        <v>2</v>
      </c>
      <c r="B16" s="28" t="s">
        <v>70</v>
      </c>
      <c r="C16" s="27">
        <v>6.02E-6</v>
      </c>
      <c r="D16" s="27">
        <v>6.866E-6</v>
      </c>
      <c r="E16" s="28">
        <f t="shared" si="11"/>
        <v>8.4600000000000003E-7</v>
      </c>
      <c r="F16" s="29">
        <f t="shared" si="2"/>
        <v>0.12321584619866006</v>
      </c>
      <c r="G16" s="27"/>
      <c r="H16" s="30">
        <v>100000</v>
      </c>
      <c r="I16" s="27"/>
      <c r="J16" s="28">
        <f t="shared" si="3"/>
        <v>0.60199999999999998</v>
      </c>
      <c r="K16" s="28">
        <f t="shared" si="4"/>
        <v>0.68659999999999999</v>
      </c>
      <c r="L16" s="28">
        <f t="shared" si="10"/>
        <v>8.4600000000000009E-2</v>
      </c>
      <c r="M16" s="31"/>
      <c r="N16" s="38">
        <f>SUM(M$6:M$23)/$C$1</f>
        <v>0.40496383957922422</v>
      </c>
      <c r="P16">
        <f>SUM(P13:P15)</f>
        <v>16.888999999999999</v>
      </c>
      <c r="Q16" s="1">
        <v>10</v>
      </c>
      <c r="R16"/>
      <c r="S16"/>
      <c r="T16"/>
      <c r="U16"/>
      <c r="V16"/>
      <c r="W16"/>
      <c r="X16"/>
      <c r="Y16"/>
      <c r="Z16"/>
    </row>
    <row r="17" spans="1:26" s="1" customFormat="1">
      <c r="A17" s="27" t="s">
        <v>2</v>
      </c>
      <c r="B17" s="28" t="s">
        <v>33</v>
      </c>
      <c r="C17" s="39">
        <v>2E-8</v>
      </c>
      <c r="D17" s="39">
        <v>2.9999999999999997E-8</v>
      </c>
      <c r="E17" s="28">
        <f t="shared" si="11"/>
        <v>9.9999999999999969E-9</v>
      </c>
      <c r="F17" s="29">
        <f t="shared" si="2"/>
        <v>0.33333333333333326</v>
      </c>
      <c r="G17" s="27"/>
      <c r="H17" s="39">
        <f>60000000+15000000</f>
        <v>75000000</v>
      </c>
      <c r="I17" s="27"/>
      <c r="J17" s="28">
        <f t="shared" si="3"/>
        <v>1.5</v>
      </c>
      <c r="K17" s="28">
        <f t="shared" si="4"/>
        <v>2.25</v>
      </c>
      <c r="L17" s="28">
        <f t="shared" si="10"/>
        <v>0.75</v>
      </c>
      <c r="M17" s="31"/>
      <c r="N17" s="38">
        <f>SUM(M$6:M$23)/$C$1</f>
        <v>0.40496383957922422</v>
      </c>
      <c r="P17"/>
      <c r="Q17" s="50">
        <f>6.889/Q16</f>
        <v>0.68890000000000007</v>
      </c>
      <c r="R17"/>
      <c r="S17"/>
      <c r="T17"/>
      <c r="U17"/>
      <c r="V17"/>
      <c r="W17"/>
      <c r="X17"/>
      <c r="Y17"/>
      <c r="Z17"/>
    </row>
    <row r="18" spans="1:26" s="1" customFormat="1">
      <c r="A18" s="27" t="s">
        <v>2</v>
      </c>
      <c r="B18" s="28" t="s">
        <v>33</v>
      </c>
      <c r="C18" s="39">
        <v>1E-8</v>
      </c>
      <c r="D18" s="39">
        <v>2.9999999999999997E-8</v>
      </c>
      <c r="E18" s="28">
        <f t="shared" ref="E18" si="17">+D18-C18</f>
        <v>1.9999999999999997E-8</v>
      </c>
      <c r="F18" s="29">
        <f t="shared" ref="F18" si="18">+E18/D18</f>
        <v>0.66666666666666663</v>
      </c>
      <c r="G18" s="27"/>
      <c r="H18" s="39">
        <v>200000000</v>
      </c>
      <c r="I18" s="27"/>
      <c r="J18" s="28">
        <f t="shared" ref="J18" si="19">+H18*C18</f>
        <v>2</v>
      </c>
      <c r="K18" s="28">
        <f t="shared" ref="K18" si="20">+H18*D18</f>
        <v>5.9999999999999991</v>
      </c>
      <c r="L18" s="28">
        <f t="shared" ref="L18" si="21">+K18-J18</f>
        <v>3.9999999999999991</v>
      </c>
      <c r="M18" s="31"/>
      <c r="N18" s="38">
        <f>SUM(M$6:M$23)/$C$1</f>
        <v>0.40496383957922422</v>
      </c>
      <c r="P18"/>
      <c r="Q18" s="50">
        <f>6.889/Q17</f>
        <v>10</v>
      </c>
      <c r="R18"/>
      <c r="S18"/>
      <c r="T18"/>
      <c r="U18"/>
      <c r="V18"/>
      <c r="W18"/>
      <c r="X18"/>
      <c r="Y18"/>
      <c r="Z18"/>
    </row>
    <row r="19" spans="1:26" s="1" customFormat="1">
      <c r="A19" s="27" t="s">
        <v>2</v>
      </c>
      <c r="B19" s="28" t="s">
        <v>24</v>
      </c>
      <c r="C19" s="27">
        <v>3.8E-6</v>
      </c>
      <c r="D19" s="27">
        <v>1.8700000000000001E-5</v>
      </c>
      <c r="E19" s="28">
        <f t="shared" ref="E19" si="22">+D19-C19</f>
        <v>1.49E-5</v>
      </c>
      <c r="F19" s="29">
        <f t="shared" ref="F19" si="23">+E19/D19</f>
        <v>0.79679144385026734</v>
      </c>
      <c r="G19" s="27"/>
      <c r="H19" s="30">
        <v>250000</v>
      </c>
      <c r="I19" s="27"/>
      <c r="J19" s="28">
        <f t="shared" ref="J19" si="24">+H19*C19</f>
        <v>0.95</v>
      </c>
      <c r="K19" s="28">
        <f t="shared" ref="K19" si="25">+H19*D19</f>
        <v>4.6749999999999998</v>
      </c>
      <c r="L19" s="28">
        <f t="shared" ref="L19" si="26">+K19-J19</f>
        <v>3.7249999999999996</v>
      </c>
      <c r="M19" s="31"/>
      <c r="N19" s="38">
        <f>SUM(M$6:M$23)/$C$1</f>
        <v>0.40496383957922422</v>
      </c>
      <c r="P19"/>
      <c r="R19"/>
      <c r="S19"/>
      <c r="T19"/>
      <c r="U19"/>
      <c r="V19"/>
      <c r="W19"/>
      <c r="X19"/>
      <c r="Y19"/>
      <c r="Z19"/>
    </row>
    <row r="20" spans="1:26" s="1" customFormat="1">
      <c r="A20" s="27" t="s">
        <v>2</v>
      </c>
      <c r="B20" s="28" t="s">
        <v>24</v>
      </c>
      <c r="C20" s="27">
        <v>4.5000000000000001E-6</v>
      </c>
      <c r="D20" s="27">
        <v>1.8700000000000001E-5</v>
      </c>
      <c r="E20" s="28">
        <f>+D20-C20</f>
        <v>1.42E-5</v>
      </c>
      <c r="F20" s="29">
        <f>+E20/D20</f>
        <v>0.7593582887700534</v>
      </c>
      <c r="G20" s="27"/>
      <c r="H20" s="30">
        <v>250000</v>
      </c>
      <c r="I20" s="27"/>
      <c r="J20" s="28">
        <f>+H20*C20</f>
        <v>1.125</v>
      </c>
      <c r="K20" s="28">
        <f>+H20*D20</f>
        <v>4.6749999999999998</v>
      </c>
      <c r="L20" s="28">
        <f>+K20-J20</f>
        <v>3.55</v>
      </c>
      <c r="M20" s="31"/>
      <c r="N20" s="38">
        <f>SUM(M$6:M$23)/$C$1</f>
        <v>0.40496383957922422</v>
      </c>
      <c r="P20"/>
      <c r="R20"/>
      <c r="S20"/>
      <c r="T20"/>
      <c r="U20"/>
      <c r="V20"/>
      <c r="W20"/>
      <c r="X20"/>
      <c r="Y20"/>
      <c r="Z20"/>
    </row>
    <row r="21" spans="1:26" s="1" customFormat="1">
      <c r="A21" s="27" t="s">
        <v>2</v>
      </c>
      <c r="B21" s="28" t="s">
        <v>24</v>
      </c>
      <c r="C21" s="27">
        <v>5.75E-6</v>
      </c>
      <c r="D21" s="27">
        <v>1.649E-5</v>
      </c>
      <c r="E21" s="28">
        <f>+D21-C21</f>
        <v>1.0739999999999999E-5</v>
      </c>
      <c r="F21" s="29">
        <f>+E21/D21</f>
        <v>0.65130382049727098</v>
      </c>
      <c r="G21" s="27"/>
      <c r="H21" s="30">
        <v>340000</v>
      </c>
      <c r="I21" s="27"/>
      <c r="J21" s="28">
        <f>+H21*C21</f>
        <v>1.9550000000000001</v>
      </c>
      <c r="K21" s="28">
        <f>+H21*D21</f>
        <v>5.6066000000000003</v>
      </c>
      <c r="L21" s="28">
        <f>+K21-J21</f>
        <v>3.6516000000000002</v>
      </c>
      <c r="M21" s="31"/>
      <c r="N21" s="38">
        <f>SUM(M$6:M$23)/$C$1</f>
        <v>0.40496383957922422</v>
      </c>
      <c r="P21"/>
      <c r="R21"/>
      <c r="S21"/>
      <c r="T21"/>
      <c r="U21"/>
      <c r="V21"/>
      <c r="W21"/>
      <c r="X21"/>
      <c r="Y21"/>
      <c r="Z21"/>
    </row>
    <row r="22" spans="1:26" s="1" customFormat="1">
      <c r="A22" s="27" t="s">
        <v>2</v>
      </c>
      <c r="B22" s="28" t="s">
        <v>24</v>
      </c>
      <c r="C22" s="27">
        <v>6.0000000000000002E-6</v>
      </c>
      <c r="D22" s="27">
        <v>1.649E-5</v>
      </c>
      <c r="E22" s="28">
        <f>+D22-C22</f>
        <v>1.049E-5</v>
      </c>
      <c r="F22" s="29">
        <f>+E22/D22</f>
        <v>0.63614311704063065</v>
      </c>
      <c r="G22" s="27"/>
      <c r="H22" s="30">
        <v>250000</v>
      </c>
      <c r="I22" s="27"/>
      <c r="J22" s="28">
        <f>+H22*C22</f>
        <v>1.5</v>
      </c>
      <c r="K22" s="28">
        <f>+H22*D22</f>
        <v>4.1224999999999996</v>
      </c>
      <c r="L22" s="28">
        <f>+K22-J22</f>
        <v>2.6224999999999996</v>
      </c>
      <c r="M22" s="31"/>
      <c r="N22" s="38">
        <f>SUM(M$6:M$23)/$C$1</f>
        <v>0.40496383957922422</v>
      </c>
      <c r="P22"/>
      <c r="R22"/>
      <c r="S22"/>
      <c r="T22"/>
      <c r="U22"/>
      <c r="V22"/>
      <c r="W22"/>
      <c r="X22"/>
      <c r="Y22"/>
      <c r="Z22"/>
    </row>
    <row r="23" spans="1:26" s="1" customFormat="1">
      <c r="A23" s="27" t="s">
        <v>2</v>
      </c>
      <c r="B23" s="28" t="s">
        <v>75</v>
      </c>
      <c r="C23" s="27">
        <v>1.6109E-3</v>
      </c>
      <c r="D23" s="27">
        <v>2.3440000000000002E-3</v>
      </c>
      <c r="E23" s="28">
        <f>+D23-C23</f>
        <v>7.331000000000002E-4</v>
      </c>
      <c r="F23" s="29">
        <f>+E23/D23</f>
        <v>0.31275597269624578</v>
      </c>
      <c r="G23" s="27"/>
      <c r="H23" s="30">
        <v>500</v>
      </c>
      <c r="I23" s="27"/>
      <c r="J23" s="28">
        <f>+H23*C23</f>
        <v>0.80545</v>
      </c>
      <c r="K23" s="28">
        <f>+H23*D23</f>
        <v>1.1720000000000002</v>
      </c>
      <c r="L23" s="28">
        <f>+K23-J23</f>
        <v>0.36655000000000015</v>
      </c>
      <c r="M23" s="31"/>
      <c r="N23" s="38">
        <f>SUM(M$6:M$23)/$C$1</f>
        <v>0.40496383957922422</v>
      </c>
      <c r="P23"/>
      <c r="R23"/>
      <c r="S23"/>
      <c r="T23"/>
      <c r="U23"/>
      <c r="V23"/>
      <c r="W23"/>
      <c r="X23"/>
      <c r="Y23"/>
      <c r="Z23"/>
    </row>
    <row r="24" spans="1:26">
      <c r="O24" s="14"/>
      <c r="P24" s="14"/>
      <c r="Q24" s="25"/>
      <c r="R24" s="25"/>
      <c r="S24" s="14"/>
      <c r="T24" s="15"/>
      <c r="U24" s="14"/>
    </row>
    <row r="25" spans="1:26">
      <c r="B25" s="22" t="s">
        <v>46</v>
      </c>
      <c r="L25" s="1">
        <f>+SUM(L6:L23)</f>
        <v>29.888249999999992</v>
      </c>
      <c r="M25" s="1">
        <f>+SUM(M6:M23)</f>
        <v>4.9276</v>
      </c>
      <c r="O25" s="14"/>
      <c r="P25" s="14"/>
      <c r="Q25" s="25"/>
      <c r="R25" s="25"/>
      <c r="S25" s="14"/>
      <c r="T25" s="26"/>
      <c r="U25" s="14"/>
    </row>
    <row r="26" spans="1:26">
      <c r="B26" s="2" t="s">
        <v>47</v>
      </c>
      <c r="O26" s="14"/>
      <c r="P26" s="14"/>
      <c r="Q26" s="25"/>
      <c r="R26" s="25"/>
      <c r="S26" s="14"/>
      <c r="T26" s="26"/>
    </row>
    <row r="27" spans="1:26">
      <c r="B27" s="3" t="s">
        <v>48</v>
      </c>
    </row>
    <row r="29" spans="1:26" s="1" customFormat="1">
      <c r="A29"/>
      <c r="B29" s="23" t="s">
        <v>49</v>
      </c>
      <c r="C29"/>
      <c r="D29"/>
      <c r="F29"/>
      <c r="G29"/>
      <c r="H29" s="6"/>
      <c r="I29"/>
      <c r="J29"/>
      <c r="K29"/>
      <c r="P29"/>
      <c r="R29"/>
      <c r="S29"/>
      <c r="T29"/>
      <c r="U29"/>
      <c r="V29"/>
    </row>
    <row r="30" spans="1:26" s="1" customFormat="1">
      <c r="B30" s="23" t="s">
        <v>50</v>
      </c>
      <c r="P30"/>
      <c r="R30"/>
      <c r="S30"/>
      <c r="T30"/>
      <c r="U30"/>
      <c r="V30"/>
    </row>
    <row r="31" spans="1:26" s="1" customFormat="1">
      <c r="B31" s="23" t="s">
        <v>52</v>
      </c>
      <c r="P31"/>
      <c r="R31"/>
      <c r="S31"/>
      <c r="T31"/>
      <c r="U31"/>
      <c r="V31"/>
    </row>
    <row r="32" spans="1:26" s="1" customFormat="1">
      <c r="P32"/>
      <c r="R32"/>
      <c r="S32"/>
      <c r="T32"/>
      <c r="U32"/>
      <c r="V32"/>
    </row>
    <row r="35" spans="1:26" s="1" customFormat="1" ht="16">
      <c r="A35"/>
      <c r="B35" s="3" t="s">
        <v>34</v>
      </c>
      <c r="C35" s="3"/>
      <c r="D35" s="4" t="s">
        <v>2</v>
      </c>
      <c r="E35" s="11"/>
      <c r="F35"/>
      <c r="G35"/>
      <c r="H35"/>
      <c r="I35"/>
      <c r="J35"/>
      <c r="K35" s="7"/>
      <c r="P35"/>
      <c r="R35"/>
      <c r="S35"/>
      <c r="T35"/>
      <c r="U35"/>
      <c r="V35"/>
      <c r="W35"/>
      <c r="X35"/>
      <c r="Y35"/>
      <c r="Z35"/>
    </row>
    <row r="36" spans="1:26" s="1" customFormat="1" ht="16">
      <c r="A36"/>
      <c r="B36" s="3" t="s">
        <v>35</v>
      </c>
      <c r="C36" s="3">
        <v>0.2</v>
      </c>
      <c r="D36" s="4" t="s">
        <v>2</v>
      </c>
      <c r="F36"/>
      <c r="G36"/>
      <c r="H36"/>
      <c r="I36"/>
      <c r="J36"/>
      <c r="K36" s="7"/>
      <c r="P36"/>
      <c r="R36"/>
      <c r="S36"/>
      <c r="T36"/>
      <c r="U36"/>
      <c r="V36"/>
      <c r="W36"/>
      <c r="X36"/>
      <c r="Y36"/>
      <c r="Z36"/>
    </row>
    <row r="37" spans="1:26" s="1" customFormat="1">
      <c r="A37"/>
      <c r="B37" s="3" t="s">
        <v>36</v>
      </c>
      <c r="C37" s="3"/>
      <c r="D37" s="4" t="s">
        <v>2</v>
      </c>
      <c r="F37"/>
      <c r="G37"/>
      <c r="H37"/>
      <c r="I37"/>
      <c r="J37"/>
      <c r="K37"/>
      <c r="P37"/>
      <c r="R37"/>
      <c r="S37"/>
      <c r="T37"/>
      <c r="U37"/>
      <c r="V37"/>
      <c r="W37"/>
      <c r="X37"/>
      <c r="Y37"/>
      <c r="Z37"/>
    </row>
    <row r="38" spans="1:26" s="1" customFormat="1" ht="16">
      <c r="A38"/>
      <c r="C38"/>
      <c r="D38"/>
      <c r="F38"/>
      <c r="G38"/>
      <c r="H38"/>
      <c r="I38"/>
      <c r="J38"/>
      <c r="K38" s="7"/>
      <c r="P38"/>
      <c r="R38"/>
      <c r="S38"/>
      <c r="T38"/>
      <c r="U38"/>
      <c r="V38"/>
      <c r="W38"/>
      <c r="X38"/>
      <c r="Y38"/>
      <c r="Z38"/>
    </row>
    <row r="39" spans="1:26">
      <c r="B39"/>
    </row>
    <row r="40" spans="1:26">
      <c r="B4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FA9F-3E7E-3847-8988-8E8E57021BD7}">
  <dimension ref="A1:Z40"/>
  <sheetViews>
    <sheetView workbookViewId="0">
      <pane ySplit="2" topLeftCell="A3" activePane="bottomLeft" state="frozen"/>
      <selection pane="bottomLeft" activeCell="C1" sqref="C1"/>
    </sheetView>
  </sheetViews>
  <sheetFormatPr baseColWidth="10" defaultColWidth="8.83203125" defaultRowHeight="15"/>
  <cols>
    <col min="1" max="1" width="7" customWidth="1"/>
    <col min="2" max="2" width="17.33203125" style="1" customWidth="1"/>
    <col min="3" max="3" width="14.5" bestFit="1" customWidth="1"/>
    <col min="4" max="4" width="15" customWidth="1"/>
    <col min="5" max="5" width="0.33203125" style="1" customWidth="1"/>
    <col min="6" max="6" width="12.1640625" customWidth="1"/>
    <col min="7" max="7" width="0.6640625" customWidth="1"/>
    <col min="8" max="8" width="14" customWidth="1"/>
    <col min="9" max="9" width="0.83203125" customWidth="1"/>
    <col min="10" max="10" width="12" bestFit="1" customWidth="1"/>
    <col min="11" max="11" width="12.5" customWidth="1"/>
    <col min="12" max="12" width="16.5" style="1" customWidth="1"/>
    <col min="13" max="14" width="15.1640625" style="1" customWidth="1"/>
    <col min="15" max="15" width="20" style="1" customWidth="1"/>
    <col min="16" max="16" width="12" bestFit="1" customWidth="1"/>
    <col min="17" max="17" width="16" style="1" customWidth="1"/>
    <col min="18" max="18" width="12" bestFit="1" customWidth="1"/>
    <col min="19" max="19" width="9.5" customWidth="1"/>
  </cols>
  <sheetData>
    <row r="1" spans="1:26">
      <c r="B1" s="1" t="s">
        <v>25</v>
      </c>
      <c r="C1">
        <v>11.007999999999999</v>
      </c>
      <c r="D1" s="6" t="s">
        <v>2</v>
      </c>
      <c r="M1" s="3" t="s">
        <v>26</v>
      </c>
      <c r="N1" s="3" t="s">
        <v>27</v>
      </c>
      <c r="O1" s="3" t="s">
        <v>28</v>
      </c>
    </row>
    <row r="2" spans="1:26" ht="17">
      <c r="C2" s="8"/>
      <c r="H2" t="s">
        <v>29</v>
      </c>
      <c r="K2">
        <v>1</v>
      </c>
      <c r="L2" s="1" t="s">
        <v>30</v>
      </c>
      <c r="M2" s="3"/>
      <c r="N2" s="3">
        <f>+M2*K2</f>
        <v>0</v>
      </c>
      <c r="O2" s="3">
        <f>+N2*4</f>
        <v>0</v>
      </c>
    </row>
    <row r="3" spans="1:26" ht="24">
      <c r="B3" s="24" t="s">
        <v>51</v>
      </c>
      <c r="C3" s="8"/>
    </row>
    <row r="4" spans="1:26" ht="17">
      <c r="B4" s="10" t="s">
        <v>69</v>
      </c>
      <c r="C4" s="8"/>
    </row>
    <row r="5" spans="1:26">
      <c r="A5" s="20" t="s">
        <v>41</v>
      </c>
      <c r="B5" s="21" t="s">
        <v>21</v>
      </c>
      <c r="C5" s="21" t="s">
        <v>39</v>
      </c>
      <c r="D5" s="21" t="s">
        <v>40</v>
      </c>
      <c r="E5" s="20"/>
      <c r="F5" s="20" t="s">
        <v>42</v>
      </c>
      <c r="G5" s="20"/>
      <c r="H5" s="21" t="s">
        <v>31</v>
      </c>
      <c r="I5" s="20"/>
      <c r="J5" s="20" t="s">
        <v>43</v>
      </c>
      <c r="K5" s="20" t="s">
        <v>44</v>
      </c>
      <c r="L5" s="21" t="s">
        <v>45</v>
      </c>
      <c r="M5" s="21" t="s">
        <v>32</v>
      </c>
    </row>
    <row r="6" spans="1:26" s="1" customFormat="1">
      <c r="A6" s="32" t="s">
        <v>2</v>
      </c>
      <c r="B6" s="2" t="s">
        <v>38</v>
      </c>
      <c r="C6" s="32">
        <v>1.7540000000000001E-4</v>
      </c>
      <c r="D6" s="32">
        <v>1.7799E-4</v>
      </c>
      <c r="E6" s="2">
        <f>+D6-C6</f>
        <v>2.5899999999999871E-6</v>
      </c>
      <c r="F6" s="33">
        <f>+E6/D6</f>
        <v>1.455137929097133E-2</v>
      </c>
      <c r="G6" s="32"/>
      <c r="H6" s="34">
        <v>5000</v>
      </c>
      <c r="I6" s="32"/>
      <c r="J6" s="2">
        <f t="shared" ref="J6:J11" si="0">+H6*C6</f>
        <v>0.877</v>
      </c>
      <c r="K6" s="2">
        <f t="shared" ref="K6:K11" si="1">+H6*D6</f>
        <v>0.88995000000000002</v>
      </c>
      <c r="L6" s="2"/>
      <c r="M6" s="35">
        <f>+K6-J6</f>
        <v>1.2950000000000017E-2</v>
      </c>
      <c r="N6" s="38">
        <f>SUM(M$6:M24)/$C$1</f>
        <v>2.2708030523255814E-2</v>
      </c>
      <c r="P6"/>
      <c r="R6"/>
      <c r="S6"/>
      <c r="T6"/>
      <c r="U6"/>
      <c r="V6"/>
      <c r="W6"/>
      <c r="X6"/>
      <c r="Y6"/>
      <c r="Z6"/>
    </row>
    <row r="7" spans="1:26" s="1" customFormat="1">
      <c r="A7" s="32" t="s">
        <v>2</v>
      </c>
      <c r="B7" s="2" t="s">
        <v>60</v>
      </c>
      <c r="C7" s="32">
        <v>1.4046999999999999E-4</v>
      </c>
      <c r="D7" s="32">
        <v>1.5749000000000001E-4</v>
      </c>
      <c r="E7" s="2">
        <f>+D7-C7</f>
        <v>1.7020000000000023E-5</v>
      </c>
      <c r="F7" s="33">
        <f>+E7/D7</f>
        <v>0.10807035367324924</v>
      </c>
      <c r="G7" s="32"/>
      <c r="H7" s="34">
        <v>1000</v>
      </c>
      <c r="I7" s="32"/>
      <c r="J7" s="2">
        <f t="shared" si="0"/>
        <v>0.14046999999999998</v>
      </c>
      <c r="K7" s="2">
        <f t="shared" si="1"/>
        <v>0.15749000000000002</v>
      </c>
      <c r="L7" s="2"/>
      <c r="M7" s="35">
        <f>+K7-J7</f>
        <v>1.7020000000000035E-2</v>
      </c>
      <c r="N7" s="38">
        <f>SUM(M$6:M30)/$C$1</f>
        <v>4.5416061046511629E-2</v>
      </c>
      <c r="P7"/>
      <c r="R7"/>
      <c r="S7"/>
      <c r="T7"/>
      <c r="U7"/>
      <c r="V7"/>
      <c r="W7"/>
      <c r="X7"/>
      <c r="Y7"/>
      <c r="Z7"/>
    </row>
    <row r="8" spans="1:26" s="1" customFormat="1">
      <c r="A8" s="32" t="s">
        <v>2</v>
      </c>
      <c r="B8" s="2" t="s">
        <v>33</v>
      </c>
      <c r="C8" s="32">
        <v>2E-8</v>
      </c>
      <c r="D8" s="32">
        <v>2.9999999999999997E-8</v>
      </c>
      <c r="E8" s="2">
        <f>+D8-C8</f>
        <v>9.9999999999999969E-9</v>
      </c>
      <c r="F8" s="33">
        <f>+E8/D8</f>
        <v>0.33333333333333326</v>
      </c>
      <c r="G8" s="32"/>
      <c r="H8" s="34">
        <v>22000000</v>
      </c>
      <c r="I8" s="32"/>
      <c r="J8" s="2">
        <f t="shared" si="0"/>
        <v>0.44</v>
      </c>
      <c r="K8" s="2">
        <f t="shared" si="1"/>
        <v>0.65999999999999992</v>
      </c>
      <c r="L8" s="2"/>
      <c r="M8" s="35">
        <f>+K8-J8</f>
        <v>0.21999999999999992</v>
      </c>
      <c r="N8" s="38">
        <f>SUM(M$6:M35)/$C$1</f>
        <v>4.5416061046511629E-2</v>
      </c>
      <c r="P8"/>
      <c r="R8"/>
      <c r="S8"/>
      <c r="T8"/>
      <c r="U8"/>
      <c r="V8"/>
      <c r="W8"/>
      <c r="X8"/>
      <c r="Y8"/>
      <c r="Z8"/>
    </row>
    <row r="9" spans="1:26" s="1" customFormat="1">
      <c r="A9" s="27" t="s">
        <v>2</v>
      </c>
      <c r="B9" s="28" t="s">
        <v>63</v>
      </c>
      <c r="C9" s="9">
        <v>3.2000000000000001E-7</v>
      </c>
      <c r="D9" s="27">
        <v>3.3000000000000002E-7</v>
      </c>
      <c r="E9" s="28">
        <f t="shared" ref="E9" si="2">+D9-C9</f>
        <v>1.000000000000001E-8</v>
      </c>
      <c r="F9" s="29">
        <f t="shared" ref="F9:F17" si="3">+E9/D9</f>
        <v>3.0303030303030332E-2</v>
      </c>
      <c r="G9" s="27"/>
      <c r="H9" s="30">
        <v>800000</v>
      </c>
      <c r="I9" s="27"/>
      <c r="J9" s="28">
        <f t="shared" si="0"/>
        <v>0.25600000000000001</v>
      </c>
      <c r="K9" s="28">
        <f t="shared" si="1"/>
        <v>0.26400000000000001</v>
      </c>
      <c r="L9" s="28">
        <f>+K9-J9</f>
        <v>8.0000000000000071E-3</v>
      </c>
      <c r="M9" s="31"/>
      <c r="N9" s="38">
        <f>SUM(M$6:M25)/$C$1</f>
        <v>4.5416061046511629E-2</v>
      </c>
      <c r="P9"/>
      <c r="R9"/>
      <c r="S9"/>
      <c r="T9"/>
      <c r="U9"/>
      <c r="V9"/>
      <c r="W9"/>
      <c r="X9"/>
      <c r="Y9"/>
      <c r="Z9"/>
    </row>
    <row r="10" spans="1:26" s="1" customFormat="1">
      <c r="A10" s="27" t="s">
        <v>2</v>
      </c>
      <c r="B10" s="28" t="s">
        <v>64</v>
      </c>
      <c r="C10" s="9">
        <v>1.7059999999999999E-5</v>
      </c>
      <c r="D10" s="27">
        <v>1.8E-5</v>
      </c>
      <c r="E10" s="28">
        <f t="shared" ref="E10:E15" si="4">+D10-C10</f>
        <v>9.4000000000000116E-7</v>
      </c>
      <c r="F10" s="29">
        <f>+E10/D10</f>
        <v>5.2222222222222288E-2</v>
      </c>
      <c r="G10" s="27"/>
      <c r="H10" s="30">
        <v>25000</v>
      </c>
      <c r="I10" s="27"/>
      <c r="J10" s="28">
        <f t="shared" si="0"/>
        <v>0.42649999999999999</v>
      </c>
      <c r="K10" s="28">
        <f t="shared" si="1"/>
        <v>0.45</v>
      </c>
      <c r="L10" s="28">
        <f>+K10-J10</f>
        <v>2.3500000000000021E-2</v>
      </c>
      <c r="M10" s="31"/>
      <c r="N10" s="38">
        <f>SUM(M$6:M26)/$C$1</f>
        <v>4.5416061046511629E-2</v>
      </c>
      <c r="P10"/>
      <c r="R10"/>
      <c r="S10"/>
      <c r="T10"/>
      <c r="U10"/>
      <c r="V10"/>
      <c r="W10"/>
      <c r="X10"/>
      <c r="Y10"/>
      <c r="Z10"/>
    </row>
    <row r="11" spans="1:26" s="1" customFormat="1">
      <c r="A11" s="27" t="s">
        <v>2</v>
      </c>
      <c r="B11" s="28" t="s">
        <v>71</v>
      </c>
      <c r="C11" s="9">
        <v>8.4910000000000003E-3</v>
      </c>
      <c r="D11" s="27">
        <v>9.4109999999999992E-3</v>
      </c>
      <c r="E11" s="28">
        <f t="shared" si="4"/>
        <v>9.1999999999999894E-4</v>
      </c>
      <c r="F11" s="29">
        <f>+E11/D11</f>
        <v>9.7757942832855063E-2</v>
      </c>
      <c r="G11" s="27"/>
      <c r="H11" s="30">
        <v>100</v>
      </c>
      <c r="I11" s="27"/>
      <c r="J11" s="28">
        <f t="shared" si="0"/>
        <v>0.84910000000000008</v>
      </c>
      <c r="K11" s="28">
        <f t="shared" si="1"/>
        <v>0.94109999999999994</v>
      </c>
      <c r="L11" s="28">
        <f>+K11-J11</f>
        <v>9.199999999999986E-2</v>
      </c>
      <c r="M11" s="31"/>
      <c r="N11" s="38">
        <f>SUM(M$6:M27)/$C$1</f>
        <v>4.5416061046511629E-2</v>
      </c>
      <c r="P11"/>
      <c r="R11"/>
      <c r="S11"/>
      <c r="T11"/>
      <c r="U11"/>
      <c r="V11"/>
      <c r="W11"/>
      <c r="X11"/>
      <c r="Y11"/>
      <c r="Z11"/>
    </row>
    <row r="12" spans="1:26" s="1" customFormat="1">
      <c r="A12" s="27" t="s">
        <v>2</v>
      </c>
      <c r="B12" s="28" t="s">
        <v>24</v>
      </c>
      <c r="C12" s="9">
        <v>1.17E-5</v>
      </c>
      <c r="D12" s="27">
        <v>1.649E-5</v>
      </c>
      <c r="E12" s="28">
        <f t="shared" si="4"/>
        <v>4.7899999999999999E-6</v>
      </c>
      <c r="F12" s="29">
        <f t="shared" si="3"/>
        <v>0.29047907822922986</v>
      </c>
      <c r="G12" s="27"/>
      <c r="H12" s="30">
        <v>50000</v>
      </c>
      <c r="I12" s="27"/>
      <c r="J12" s="28">
        <f t="shared" ref="J12:J21" si="5">+H12*C12</f>
        <v>0.58499999999999996</v>
      </c>
      <c r="K12" s="28">
        <f t="shared" ref="K12:K21" si="6">+H12*D12</f>
        <v>0.82450000000000001</v>
      </c>
      <c r="L12" s="28">
        <f t="shared" ref="L12:L21" si="7">+K12-J12</f>
        <v>0.23950000000000005</v>
      </c>
      <c r="M12" s="31"/>
      <c r="N12" s="38">
        <f>SUM(M$6:M28)/$C$1</f>
        <v>4.5416061046511629E-2</v>
      </c>
      <c r="P12"/>
      <c r="R12"/>
      <c r="S12"/>
      <c r="T12"/>
      <c r="U12"/>
      <c r="V12"/>
      <c r="W12"/>
      <c r="X12"/>
      <c r="Y12"/>
      <c r="Z12"/>
    </row>
    <row r="13" spans="1:26" s="1" customFormat="1">
      <c r="A13" s="27" t="s">
        <v>2</v>
      </c>
      <c r="B13" s="28" t="s">
        <v>24</v>
      </c>
      <c r="C13" s="9">
        <v>6.4999999999999996E-6</v>
      </c>
      <c r="D13" s="27">
        <v>1.649E-5</v>
      </c>
      <c r="E13" s="28">
        <f t="shared" si="4"/>
        <v>9.9900000000000009E-6</v>
      </c>
      <c r="F13" s="29">
        <f t="shared" ref="F13" si="8">+E13/D13</f>
        <v>0.60582171012734998</v>
      </c>
      <c r="G13" s="27"/>
      <c r="H13" s="30">
        <v>200000</v>
      </c>
      <c r="I13" s="27"/>
      <c r="J13" s="28">
        <f t="shared" ref="J13" si="9">+H13*C13</f>
        <v>1.2999999999999998</v>
      </c>
      <c r="K13" s="28">
        <f t="shared" ref="K13" si="10">+H13*D13</f>
        <v>3.298</v>
      </c>
      <c r="L13" s="28">
        <f t="shared" ref="L13" si="11">+K13-J13</f>
        <v>1.9980000000000002</v>
      </c>
      <c r="M13" s="31"/>
      <c r="N13" s="38">
        <f>SUM(M$6:M29)/$C$1</f>
        <v>4.5416061046511629E-2</v>
      </c>
      <c r="P13"/>
      <c r="R13"/>
      <c r="S13"/>
      <c r="T13"/>
      <c r="U13"/>
      <c r="V13"/>
      <c r="W13"/>
      <c r="X13"/>
      <c r="Y13"/>
      <c r="Z13"/>
    </row>
    <row r="14" spans="1:26" s="1" customFormat="1">
      <c r="A14" s="27" t="s">
        <v>2</v>
      </c>
      <c r="B14" s="28" t="s">
        <v>24</v>
      </c>
      <c r="C14" s="27">
        <v>5.75E-6</v>
      </c>
      <c r="D14" s="27">
        <v>1.649E-5</v>
      </c>
      <c r="E14" s="28">
        <f t="shared" si="4"/>
        <v>1.0739999999999999E-5</v>
      </c>
      <c r="F14" s="29">
        <f t="shared" ref="F14" si="12">+E14/D14</f>
        <v>0.65130382049727098</v>
      </c>
      <c r="G14" s="27"/>
      <c r="H14" s="30">
        <v>340000</v>
      </c>
      <c r="I14" s="27"/>
      <c r="J14" s="28">
        <f t="shared" ref="J14" si="13">+H14*C14</f>
        <v>1.9550000000000001</v>
      </c>
      <c r="K14" s="28">
        <f t="shared" ref="K14" si="14">+H14*D14</f>
        <v>5.6066000000000003</v>
      </c>
      <c r="L14" s="28">
        <f t="shared" ref="L14" si="15">+K14-J14</f>
        <v>3.6516000000000002</v>
      </c>
      <c r="M14" s="31"/>
      <c r="N14" s="38">
        <f>SUM(M$6:M31)/$C$1</f>
        <v>4.5416061046511629E-2</v>
      </c>
      <c r="P14"/>
      <c r="R14"/>
      <c r="S14"/>
      <c r="T14"/>
      <c r="U14"/>
      <c r="V14"/>
      <c r="W14"/>
      <c r="X14"/>
      <c r="Y14"/>
      <c r="Z14"/>
    </row>
    <row r="15" spans="1:26" s="1" customFormat="1">
      <c r="A15" s="27" t="s">
        <v>2</v>
      </c>
      <c r="B15" s="28" t="s">
        <v>23</v>
      </c>
      <c r="C15" s="27">
        <v>1.5999999999999999E-5</v>
      </c>
      <c r="D15" s="27">
        <v>3.3000000000000003E-5</v>
      </c>
      <c r="E15" s="28">
        <f t="shared" si="4"/>
        <v>1.7000000000000003E-5</v>
      </c>
      <c r="F15" s="29">
        <f t="shared" si="3"/>
        <v>0.51515151515151525</v>
      </c>
      <c r="G15" s="27"/>
      <c r="H15" s="30">
        <v>50000</v>
      </c>
      <c r="I15" s="27"/>
      <c r="J15" s="28">
        <f t="shared" si="5"/>
        <v>0.79999999999999993</v>
      </c>
      <c r="K15" s="28">
        <f t="shared" si="6"/>
        <v>1.6500000000000001</v>
      </c>
      <c r="L15" s="28">
        <f t="shared" si="7"/>
        <v>0.8500000000000002</v>
      </c>
      <c r="M15" s="31"/>
      <c r="N15" s="38">
        <f>SUM(M$6:M32)/$C$1</f>
        <v>4.5416061046511629E-2</v>
      </c>
      <c r="P15"/>
      <c r="R15"/>
      <c r="S15"/>
      <c r="T15"/>
      <c r="U15"/>
      <c r="V15"/>
      <c r="W15"/>
      <c r="X15"/>
      <c r="Y15"/>
      <c r="Z15"/>
    </row>
    <row r="16" spans="1:26" s="1" customFormat="1">
      <c r="A16" s="27" t="s">
        <v>2</v>
      </c>
      <c r="B16" s="28" t="s">
        <v>23</v>
      </c>
      <c r="C16" s="27">
        <v>1.0000000000000001E-5</v>
      </c>
      <c r="D16" s="27">
        <v>2.5999999999999998E-5</v>
      </c>
      <c r="E16" s="28">
        <f t="shared" ref="E16" si="16">+D16-C16</f>
        <v>1.5999999999999996E-5</v>
      </c>
      <c r="F16" s="29">
        <f t="shared" ref="F16" si="17">+E16/D16</f>
        <v>0.61538461538461531</v>
      </c>
      <c r="G16" s="27"/>
      <c r="H16" s="30">
        <v>93000</v>
      </c>
      <c r="I16" s="27"/>
      <c r="J16" s="28">
        <f t="shared" ref="J16" si="18">+H16*C16</f>
        <v>0.93</v>
      </c>
      <c r="K16" s="28">
        <f t="shared" ref="K16" si="19">+H16*D16</f>
        <v>2.4179999999999997</v>
      </c>
      <c r="L16" s="28">
        <f t="shared" ref="L16" si="20">+K16-J16</f>
        <v>1.4879999999999995</v>
      </c>
      <c r="M16" s="31"/>
      <c r="N16" s="38">
        <f>SUM(M$6:M32)/$C$1</f>
        <v>4.5416061046511629E-2</v>
      </c>
      <c r="P16"/>
      <c r="R16"/>
      <c r="S16"/>
      <c r="T16"/>
      <c r="U16"/>
      <c r="V16"/>
      <c r="W16"/>
      <c r="X16"/>
      <c r="Y16"/>
      <c r="Z16"/>
    </row>
    <row r="17" spans="1:26" s="1" customFormat="1">
      <c r="A17" s="27" t="s">
        <v>2</v>
      </c>
      <c r="B17" s="28" t="s">
        <v>23</v>
      </c>
      <c r="C17" s="27">
        <v>3.9999999999999998E-6</v>
      </c>
      <c r="D17" s="27">
        <v>2.5999999999999998E-5</v>
      </c>
      <c r="E17" s="28">
        <f t="shared" ref="E17" si="21">+D17-C17</f>
        <v>2.1999999999999999E-5</v>
      </c>
      <c r="F17" s="29">
        <f t="shared" si="3"/>
        <v>0.84615384615384615</v>
      </c>
      <c r="G17" s="27"/>
      <c r="H17" s="30">
        <v>200000</v>
      </c>
      <c r="I17" s="27"/>
      <c r="J17" s="28">
        <f t="shared" si="5"/>
        <v>0.79999999999999993</v>
      </c>
      <c r="K17" s="28">
        <f t="shared" si="6"/>
        <v>5.1999999999999993</v>
      </c>
      <c r="L17" s="28">
        <f t="shared" si="7"/>
        <v>4.3999999999999995</v>
      </c>
      <c r="M17" s="31"/>
      <c r="N17" s="38">
        <f>SUM(M$6:M33)/$C$1</f>
        <v>4.5416061046511629E-2</v>
      </c>
      <c r="P17"/>
      <c r="R17"/>
      <c r="S17"/>
      <c r="T17"/>
      <c r="U17"/>
      <c r="V17"/>
      <c r="W17"/>
      <c r="X17"/>
      <c r="Y17"/>
      <c r="Z17"/>
    </row>
    <row r="18" spans="1:26" s="1" customFormat="1">
      <c r="A18" s="27" t="s">
        <v>2</v>
      </c>
      <c r="B18" s="28" t="s">
        <v>37</v>
      </c>
      <c r="C18" s="27">
        <v>1.5999999999999999E-5</v>
      </c>
      <c r="D18" s="27">
        <v>3.4999999999999997E-5</v>
      </c>
      <c r="E18" s="28">
        <f t="shared" ref="E18:E21" si="22">+D18-C18</f>
        <v>1.8999999999999998E-5</v>
      </c>
      <c r="F18" s="29">
        <f t="shared" ref="F18:F21" si="23">+E18/D18</f>
        <v>0.54285714285714282</v>
      </c>
      <c r="G18" s="27"/>
      <c r="H18" s="30">
        <v>10000</v>
      </c>
      <c r="I18" s="27"/>
      <c r="J18" s="28">
        <f t="shared" si="5"/>
        <v>0.16</v>
      </c>
      <c r="K18" s="28">
        <f t="shared" si="6"/>
        <v>0.35</v>
      </c>
      <c r="L18" s="28">
        <f t="shared" si="7"/>
        <v>0.18999999999999997</v>
      </c>
      <c r="M18" s="31"/>
      <c r="N18" s="38">
        <f>SUM(M$6:M34)/$C$1</f>
        <v>4.5416061046511629E-2</v>
      </c>
      <c r="P18"/>
      <c r="R18"/>
      <c r="S18"/>
      <c r="T18"/>
      <c r="U18"/>
      <c r="V18"/>
      <c r="W18"/>
      <c r="X18"/>
      <c r="Y18"/>
      <c r="Z18"/>
    </row>
    <row r="19" spans="1:26" s="1" customFormat="1">
      <c r="A19" s="27" t="s">
        <v>2</v>
      </c>
      <c r="B19" s="28"/>
      <c r="C19" s="27"/>
      <c r="D19" s="27"/>
      <c r="E19" s="28">
        <f t="shared" si="22"/>
        <v>0</v>
      </c>
      <c r="F19" s="29" t="e">
        <f t="shared" si="23"/>
        <v>#DIV/0!</v>
      </c>
      <c r="G19" s="27"/>
      <c r="H19" s="30">
        <v>3500</v>
      </c>
      <c r="I19" s="27"/>
      <c r="J19" s="28">
        <f t="shared" si="5"/>
        <v>0</v>
      </c>
      <c r="K19" s="28">
        <f t="shared" si="6"/>
        <v>0</v>
      </c>
      <c r="L19" s="28">
        <f t="shared" si="7"/>
        <v>0</v>
      </c>
      <c r="M19" s="31"/>
      <c r="N19" s="38">
        <f>SUM(M$6:M36)/$C$1</f>
        <v>4.5416061046511629E-2</v>
      </c>
      <c r="P19"/>
      <c r="R19"/>
      <c r="S19"/>
      <c r="T19"/>
      <c r="U19"/>
      <c r="V19"/>
      <c r="W19"/>
      <c r="X19"/>
      <c r="Y19"/>
      <c r="Z19"/>
    </row>
    <row r="20" spans="1:26" s="1" customFormat="1">
      <c r="A20" s="27" t="s">
        <v>2</v>
      </c>
      <c r="B20" s="28" t="s">
        <v>70</v>
      </c>
      <c r="C20" s="27">
        <v>6.02E-6</v>
      </c>
      <c r="D20" s="27">
        <v>6.866E-6</v>
      </c>
      <c r="E20" s="28">
        <f t="shared" ref="E20" si="24">+D20-C20</f>
        <v>8.4600000000000003E-7</v>
      </c>
      <c r="F20" s="29">
        <f t="shared" ref="F20" si="25">+E20/D20</f>
        <v>0.12321584619866006</v>
      </c>
      <c r="G20" s="27"/>
      <c r="H20" s="30">
        <v>100000</v>
      </c>
      <c r="I20" s="27"/>
      <c r="J20" s="28">
        <f t="shared" ref="J20" si="26">+H20*C20</f>
        <v>0.60199999999999998</v>
      </c>
      <c r="K20" s="28">
        <f t="shared" ref="K20" si="27">+H20*D20</f>
        <v>0.68659999999999999</v>
      </c>
      <c r="L20" s="28">
        <f t="shared" ref="L20" si="28">+K20-J20</f>
        <v>8.4600000000000009E-2</v>
      </c>
      <c r="M20" s="31"/>
      <c r="N20" s="38">
        <f>SUM(M$6:M37)/$C$1</f>
        <v>4.5416061046511629E-2</v>
      </c>
      <c r="P20"/>
      <c r="R20"/>
      <c r="S20"/>
      <c r="T20"/>
      <c r="U20"/>
      <c r="V20"/>
      <c r="W20"/>
      <c r="X20"/>
      <c r="Y20"/>
      <c r="Z20"/>
    </row>
    <row r="21" spans="1:26" s="1" customFormat="1">
      <c r="A21" s="27" t="s">
        <v>2</v>
      </c>
      <c r="B21" s="28"/>
      <c r="C21" s="27"/>
      <c r="D21" s="27"/>
      <c r="E21" s="28">
        <f t="shared" si="22"/>
        <v>0</v>
      </c>
      <c r="F21" s="29" t="e">
        <f t="shared" si="23"/>
        <v>#DIV/0!</v>
      </c>
      <c r="G21" s="27"/>
      <c r="H21" s="30">
        <v>59</v>
      </c>
      <c r="I21" s="27"/>
      <c r="J21" s="28">
        <f t="shared" si="5"/>
        <v>0</v>
      </c>
      <c r="K21" s="28">
        <f t="shared" si="6"/>
        <v>0</v>
      </c>
      <c r="L21" s="28">
        <f t="shared" si="7"/>
        <v>0</v>
      </c>
      <c r="M21" s="31"/>
      <c r="N21" s="38">
        <f>SUM(M$6:M38)/$C$1</f>
        <v>4.5416061046511629E-2</v>
      </c>
      <c r="P21"/>
      <c r="R21"/>
      <c r="S21"/>
      <c r="T21"/>
      <c r="U21"/>
      <c r="V21"/>
      <c r="W21"/>
      <c r="X21"/>
      <c r="Y21"/>
      <c r="Z21"/>
    </row>
    <row r="22" spans="1:26" s="1" customFormat="1">
      <c r="A22" s="27" t="s">
        <v>2</v>
      </c>
      <c r="B22" s="28" t="s">
        <v>33</v>
      </c>
      <c r="C22" s="39">
        <v>2E-8</v>
      </c>
      <c r="D22" s="39">
        <v>2.9999999999999997E-8</v>
      </c>
      <c r="E22" s="28">
        <f t="shared" ref="E22" si="29">+D22-C22</f>
        <v>9.9999999999999969E-9</v>
      </c>
      <c r="F22" s="29">
        <f t="shared" ref="F22" si="30">+E22/D22</f>
        <v>0.33333333333333326</v>
      </c>
      <c r="G22" s="27"/>
      <c r="H22" s="39">
        <f>60000000+15000000+33000000</f>
        <v>108000000</v>
      </c>
      <c r="I22" s="27"/>
      <c r="J22" s="28">
        <f t="shared" ref="J22" si="31">+H22*C22</f>
        <v>2.16</v>
      </c>
      <c r="K22" s="28">
        <f t="shared" ref="K22" si="32">+H22*D22</f>
        <v>3.2399999999999998</v>
      </c>
      <c r="L22" s="28">
        <f t="shared" ref="L22" si="33">+K22-J22</f>
        <v>1.0799999999999996</v>
      </c>
      <c r="M22" s="31"/>
      <c r="N22" s="38">
        <f>SUM(M$6:M39)/$C$1</f>
        <v>4.5416061046511629E-2</v>
      </c>
      <c r="P22"/>
      <c r="R22"/>
      <c r="S22"/>
      <c r="T22"/>
      <c r="U22"/>
      <c r="V22"/>
      <c r="W22"/>
      <c r="X22"/>
      <c r="Y22"/>
      <c r="Z22"/>
    </row>
    <row r="23" spans="1:26" s="1" customFormat="1">
      <c r="A23" s="27" t="s">
        <v>2</v>
      </c>
      <c r="B23" s="28"/>
      <c r="C23" s="27"/>
      <c r="D23" s="27"/>
      <c r="E23" s="28">
        <f t="shared" ref="E23" si="34">+D23-C23</f>
        <v>0</v>
      </c>
      <c r="F23" s="29" t="e">
        <f t="shared" ref="F23" si="35">+E23/D23</f>
        <v>#DIV/0!</v>
      </c>
      <c r="G23" s="27"/>
      <c r="H23" s="30"/>
      <c r="I23" s="27"/>
      <c r="J23" s="28">
        <f t="shared" ref="J23" si="36">+H23*C23</f>
        <v>0</v>
      </c>
      <c r="K23" s="28">
        <f t="shared" ref="K23" si="37">+H23*D23</f>
        <v>0</v>
      </c>
      <c r="L23" s="28">
        <f t="shared" ref="L23" si="38">+K23-J23</f>
        <v>0</v>
      </c>
      <c r="M23" s="31"/>
      <c r="N23" s="38">
        <f>SUM(M$6:M40)/$C$1</f>
        <v>4.5416061046511629E-2</v>
      </c>
      <c r="P23"/>
      <c r="R23"/>
      <c r="S23"/>
      <c r="T23"/>
      <c r="U23"/>
      <c r="V23"/>
      <c r="W23"/>
      <c r="X23"/>
      <c r="Y23"/>
      <c r="Z23"/>
    </row>
    <row r="24" spans="1:26">
      <c r="O24" s="14"/>
      <c r="P24" s="14"/>
      <c r="Q24" s="25"/>
      <c r="R24" s="25"/>
      <c r="S24" s="14"/>
      <c r="T24" s="15"/>
      <c r="U24" s="14"/>
    </row>
    <row r="25" spans="1:26">
      <c r="B25" s="22" t="s">
        <v>46</v>
      </c>
      <c r="L25" s="1">
        <f>+SUM(L9:L23)</f>
        <v>14.105199999999998</v>
      </c>
      <c r="M25" s="49">
        <f>+SUM(M6:M23)</f>
        <v>0.24996999999999997</v>
      </c>
      <c r="O25" s="14"/>
      <c r="P25" s="14"/>
      <c r="Q25" s="25"/>
      <c r="R25" s="25"/>
      <c r="S25" s="14"/>
      <c r="T25" s="26"/>
      <c r="U25" s="14"/>
    </row>
    <row r="26" spans="1:26">
      <c r="B26" s="2" t="s">
        <v>47</v>
      </c>
      <c r="O26" s="14"/>
      <c r="P26" s="14"/>
      <c r="Q26" s="25"/>
      <c r="R26" s="25"/>
      <c r="S26" s="14"/>
      <c r="T26" s="26"/>
    </row>
    <row r="27" spans="1:26">
      <c r="B27" s="3" t="s">
        <v>48</v>
      </c>
    </row>
    <row r="29" spans="1:26" s="1" customFormat="1">
      <c r="A29"/>
      <c r="B29" s="23" t="s">
        <v>49</v>
      </c>
      <c r="C29"/>
      <c r="D29"/>
      <c r="F29"/>
      <c r="G29"/>
      <c r="H29" s="6"/>
      <c r="I29"/>
      <c r="J29"/>
      <c r="K29"/>
      <c r="P29"/>
      <c r="R29"/>
      <c r="S29"/>
      <c r="T29"/>
      <c r="U29"/>
      <c r="V29"/>
    </row>
    <row r="30" spans="1:26" s="1" customFormat="1">
      <c r="B30" s="23" t="s">
        <v>50</v>
      </c>
      <c r="P30"/>
      <c r="R30"/>
      <c r="S30"/>
      <c r="T30"/>
      <c r="U30"/>
      <c r="V30"/>
    </row>
    <row r="31" spans="1:26" s="1" customFormat="1">
      <c r="B31" s="23" t="s">
        <v>52</v>
      </c>
      <c r="P31"/>
      <c r="R31"/>
      <c r="S31"/>
      <c r="T31"/>
      <c r="U31"/>
      <c r="V31"/>
    </row>
    <row r="32" spans="1:26" s="1" customFormat="1">
      <c r="P32"/>
      <c r="R32"/>
      <c r="S32"/>
      <c r="T32"/>
      <c r="U32"/>
      <c r="V32"/>
    </row>
    <row r="35" spans="1:26" s="1" customFormat="1" ht="16">
      <c r="A35"/>
      <c r="B35" s="3" t="s">
        <v>34</v>
      </c>
      <c r="C35" s="3"/>
      <c r="D35" s="4" t="s">
        <v>2</v>
      </c>
      <c r="E35" s="11"/>
      <c r="F35"/>
      <c r="G35"/>
      <c r="H35"/>
      <c r="I35"/>
      <c r="J35"/>
      <c r="K35" s="7"/>
      <c r="P35"/>
      <c r="R35"/>
      <c r="S35"/>
      <c r="T35"/>
      <c r="U35"/>
      <c r="V35"/>
      <c r="W35"/>
      <c r="X35"/>
      <c r="Y35"/>
      <c r="Z35"/>
    </row>
    <row r="36" spans="1:26" s="1" customFormat="1" ht="16">
      <c r="A36"/>
      <c r="B36" s="3" t="s">
        <v>35</v>
      </c>
      <c r="C36" s="3">
        <v>1</v>
      </c>
      <c r="D36" s="4" t="s">
        <v>2</v>
      </c>
      <c r="F36"/>
      <c r="G36"/>
      <c r="H36"/>
      <c r="I36"/>
      <c r="J36"/>
      <c r="K36" s="7"/>
      <c r="P36"/>
      <c r="R36"/>
      <c r="S36"/>
      <c r="T36"/>
      <c r="U36"/>
      <c r="V36"/>
      <c r="W36"/>
      <c r="X36"/>
      <c r="Y36"/>
      <c r="Z36"/>
    </row>
    <row r="37" spans="1:26" s="1" customFormat="1">
      <c r="A37"/>
      <c r="B37" s="3" t="s">
        <v>36</v>
      </c>
      <c r="C37" s="3"/>
      <c r="D37" s="4" t="s">
        <v>2</v>
      </c>
      <c r="F37"/>
      <c r="G37"/>
      <c r="H37"/>
      <c r="I37"/>
      <c r="J37"/>
      <c r="K37"/>
      <c r="P37"/>
      <c r="R37"/>
      <c r="S37"/>
      <c r="T37"/>
      <c r="U37"/>
      <c r="V37"/>
      <c r="W37"/>
      <c r="X37"/>
      <c r="Y37"/>
      <c r="Z37"/>
    </row>
    <row r="38" spans="1:26" s="1" customFormat="1" ht="16">
      <c r="A38"/>
      <c r="C38"/>
      <c r="D38"/>
      <c r="F38"/>
      <c r="G38"/>
      <c r="H38"/>
      <c r="I38"/>
      <c r="J38"/>
      <c r="K38" s="7"/>
      <c r="P38"/>
      <c r="R38"/>
      <c r="S38"/>
      <c r="T38"/>
      <c r="U38"/>
      <c r="V38"/>
      <c r="W38"/>
      <c r="X38"/>
      <c r="Y38"/>
      <c r="Z38"/>
    </row>
    <row r="39" spans="1:26">
      <c r="B39"/>
    </row>
    <row r="40" spans="1:26">
      <c r="B40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53"/>
  <sheetViews>
    <sheetView workbookViewId="0">
      <pane ySplit="2" topLeftCell="A3" activePane="bottomLeft" state="frozen"/>
      <selection pane="bottomLeft" activeCell="D29" sqref="D29"/>
    </sheetView>
  </sheetViews>
  <sheetFormatPr baseColWidth="10" defaultColWidth="8.83203125" defaultRowHeight="15"/>
  <cols>
    <col min="1" max="1" width="7" customWidth="1"/>
    <col min="2" max="2" width="17.33203125" style="1" customWidth="1"/>
    <col min="3" max="3" width="14.5" bestFit="1" customWidth="1"/>
    <col min="4" max="4" width="15" customWidth="1"/>
    <col min="5" max="5" width="0.33203125" style="1" customWidth="1"/>
    <col min="6" max="6" width="12.1640625" customWidth="1"/>
    <col min="7" max="7" width="0.6640625" customWidth="1"/>
    <col min="8" max="8" width="14" customWidth="1"/>
    <col min="9" max="9" width="0.83203125" customWidth="1"/>
    <col min="10" max="10" width="12" bestFit="1" customWidth="1"/>
    <col min="11" max="11" width="12.5" customWidth="1"/>
    <col min="12" max="12" width="16.5" style="1" customWidth="1"/>
    <col min="13" max="14" width="15.1640625" style="1" customWidth="1"/>
    <col min="15" max="15" width="20" style="1" customWidth="1"/>
    <col min="16" max="16" width="12" bestFit="1" customWidth="1"/>
    <col min="17" max="17" width="16" style="1" customWidth="1"/>
    <col min="18" max="18" width="12" bestFit="1" customWidth="1"/>
    <col min="19" max="19" width="9.5" customWidth="1"/>
  </cols>
  <sheetData>
    <row r="1" spans="1:26">
      <c r="B1" s="1" t="s">
        <v>25</v>
      </c>
      <c r="C1">
        <v>10</v>
      </c>
      <c r="D1" s="6" t="s">
        <v>2</v>
      </c>
      <c r="M1" s="3" t="s">
        <v>26</v>
      </c>
      <c r="N1" s="3" t="s">
        <v>27</v>
      </c>
      <c r="O1" s="3" t="s">
        <v>28</v>
      </c>
    </row>
    <row r="2" spans="1:26" ht="17">
      <c r="C2" s="8"/>
      <c r="H2" t="s">
        <v>29</v>
      </c>
      <c r="K2">
        <v>1</v>
      </c>
      <c r="L2" s="1" t="s">
        <v>30</v>
      </c>
      <c r="M2" s="3"/>
      <c r="N2" s="3">
        <f>+M2*K2</f>
        <v>0</v>
      </c>
      <c r="O2" s="3">
        <f>+N2*4</f>
        <v>0</v>
      </c>
    </row>
    <row r="3" spans="1:26" ht="24">
      <c r="B3" s="24" t="s">
        <v>51</v>
      </c>
      <c r="C3" s="8"/>
    </row>
    <row r="4" spans="1:26" ht="17">
      <c r="B4" s="10" t="s">
        <v>53</v>
      </c>
      <c r="C4" s="8"/>
    </row>
    <row r="5" spans="1:26">
      <c r="A5" s="20" t="s">
        <v>41</v>
      </c>
      <c r="B5" s="21" t="s">
        <v>21</v>
      </c>
      <c r="C5" s="21" t="s">
        <v>39</v>
      </c>
      <c r="D5" s="21" t="s">
        <v>40</v>
      </c>
      <c r="E5" s="20"/>
      <c r="F5" s="20" t="s">
        <v>42</v>
      </c>
      <c r="G5" s="20"/>
      <c r="H5" s="21" t="s">
        <v>31</v>
      </c>
      <c r="I5" s="20"/>
      <c r="J5" s="20" t="s">
        <v>43</v>
      </c>
      <c r="K5" s="20" t="s">
        <v>44</v>
      </c>
      <c r="L5" s="21" t="s">
        <v>45</v>
      </c>
      <c r="M5" s="21" t="s">
        <v>32</v>
      </c>
    </row>
    <row r="6" spans="1:26" s="1" customFormat="1">
      <c r="A6" s="32" t="s">
        <v>2</v>
      </c>
      <c r="B6" s="2" t="s">
        <v>58</v>
      </c>
      <c r="C6" s="32">
        <v>2.0599999999999999E-5</v>
      </c>
      <c r="D6" s="32">
        <v>2.5000000000000001E-5</v>
      </c>
      <c r="E6" s="2">
        <f>+D6-C6</f>
        <v>4.4000000000000019E-6</v>
      </c>
      <c r="F6" s="33">
        <f>+E6/D6</f>
        <v>0.17600000000000007</v>
      </c>
      <c r="G6" s="32"/>
      <c r="H6" s="34">
        <v>49871</v>
      </c>
      <c r="I6" s="32"/>
      <c r="J6" s="2">
        <f>+H6*C6</f>
        <v>1.0273425999999999</v>
      </c>
      <c r="K6" s="2">
        <f>+H6*D6</f>
        <v>1.246775</v>
      </c>
      <c r="L6" s="2"/>
      <c r="M6" s="35">
        <f t="shared" ref="M6:M15" si="0">+K6-J6</f>
        <v>0.21943240000000008</v>
      </c>
      <c r="N6" s="37">
        <f>SUM(M$6:M6)/$C$1</f>
        <v>2.194324000000001E-2</v>
      </c>
      <c r="P6"/>
      <c r="R6"/>
      <c r="S6"/>
      <c r="T6"/>
      <c r="U6"/>
      <c r="V6"/>
      <c r="W6"/>
      <c r="X6"/>
      <c r="Y6"/>
      <c r="Z6"/>
    </row>
    <row r="7" spans="1:26" s="1" customFormat="1">
      <c r="A7" s="32" t="s">
        <v>2</v>
      </c>
      <c r="B7" s="2" t="s">
        <v>60</v>
      </c>
      <c r="C7" s="32">
        <v>2.51E-5</v>
      </c>
      <c r="D7" s="32">
        <v>4.0000000000000003E-5</v>
      </c>
      <c r="E7" s="2">
        <f>+D7-C7</f>
        <v>1.4900000000000003E-5</v>
      </c>
      <c r="F7" s="33">
        <f>+E7/D7</f>
        <v>0.37250000000000005</v>
      </c>
      <c r="G7" s="32"/>
      <c r="H7" s="34">
        <v>65</v>
      </c>
      <c r="I7" s="32"/>
      <c r="J7" s="2">
        <f t="shared" ref="J7" si="1">+H7*C7</f>
        <v>1.6314999999999999E-3</v>
      </c>
      <c r="K7" s="2">
        <f t="shared" ref="K7" si="2">+H7*D7</f>
        <v>2.6000000000000003E-3</v>
      </c>
      <c r="L7" s="2"/>
      <c r="M7" s="35">
        <f t="shared" si="0"/>
        <v>9.6850000000000039E-4</v>
      </c>
      <c r="N7" s="37">
        <f>SUM(M$6:M7)/$C$1</f>
        <v>2.2040090000000009E-2</v>
      </c>
      <c r="P7"/>
      <c r="R7"/>
      <c r="S7"/>
      <c r="T7"/>
      <c r="U7"/>
      <c r="V7"/>
      <c r="W7"/>
      <c r="X7"/>
      <c r="Y7"/>
      <c r="Z7"/>
    </row>
    <row r="8" spans="1:26" s="1" customFormat="1">
      <c r="A8" s="32" t="s">
        <v>2</v>
      </c>
      <c r="B8" s="2" t="s">
        <v>23</v>
      </c>
      <c r="C8" s="32">
        <v>1.8E-5</v>
      </c>
      <c r="D8" s="32">
        <v>2.5000000000000001E-5</v>
      </c>
      <c r="E8" s="2">
        <f>+D8-C8</f>
        <v>7.0000000000000007E-6</v>
      </c>
      <c r="F8" s="33">
        <f>+E8/D8</f>
        <v>0.28000000000000003</v>
      </c>
      <c r="G8" s="32"/>
      <c r="H8" s="34">
        <v>30000</v>
      </c>
      <c r="I8" s="32"/>
      <c r="J8" s="2">
        <f>+H8*C8</f>
        <v>0.54</v>
      </c>
      <c r="K8" s="2">
        <f>+H8*D8</f>
        <v>0.75</v>
      </c>
      <c r="L8" s="2"/>
      <c r="M8" s="35">
        <f t="shared" si="0"/>
        <v>0.20999999999999996</v>
      </c>
      <c r="N8" s="37">
        <f>SUM(M$6:M8)/$C$1</f>
        <v>4.304009000000001E-2</v>
      </c>
      <c r="P8"/>
      <c r="R8"/>
      <c r="S8"/>
      <c r="T8"/>
      <c r="U8"/>
      <c r="V8"/>
      <c r="W8"/>
      <c r="X8"/>
      <c r="Y8"/>
      <c r="Z8"/>
    </row>
    <row r="9" spans="1:26" s="1" customFormat="1">
      <c r="A9" s="32" t="s">
        <v>2</v>
      </c>
      <c r="B9" s="2" t="s">
        <v>23</v>
      </c>
      <c r="C9" s="32">
        <v>1.8E-5</v>
      </c>
      <c r="D9" s="32">
        <v>3.0000000000000001E-5</v>
      </c>
      <c r="E9" s="2">
        <f>+D9-C9</f>
        <v>1.2E-5</v>
      </c>
      <c r="F9" s="33">
        <f>+E9/D9</f>
        <v>0.4</v>
      </c>
      <c r="G9" s="32"/>
      <c r="H9" s="34">
        <v>20000</v>
      </c>
      <c r="I9" s="32"/>
      <c r="J9" s="2">
        <f>+H9*C9</f>
        <v>0.36</v>
      </c>
      <c r="K9" s="2">
        <f>+H9*D9</f>
        <v>0.6</v>
      </c>
      <c r="L9" s="2"/>
      <c r="M9" s="35">
        <f t="shared" si="0"/>
        <v>0.24</v>
      </c>
      <c r="N9" s="37">
        <f>SUM(M$6:M9)/$C$1</f>
        <v>6.7040090000000011E-2</v>
      </c>
      <c r="P9"/>
      <c r="R9"/>
      <c r="S9"/>
      <c r="T9"/>
      <c r="U9"/>
      <c r="V9"/>
      <c r="W9"/>
      <c r="X9"/>
      <c r="Y9"/>
      <c r="Z9"/>
    </row>
    <row r="10" spans="1:26" s="1" customFormat="1">
      <c r="A10" s="32" t="s">
        <v>2</v>
      </c>
      <c r="B10" s="2" t="s">
        <v>56</v>
      </c>
      <c r="C10" s="32">
        <v>6.001E-4</v>
      </c>
      <c r="D10" s="32">
        <v>7.6000000000000004E-4</v>
      </c>
      <c r="E10" s="2">
        <f t="shared" ref="E10" si="3">+D10-C10</f>
        <v>1.5990000000000004E-4</v>
      </c>
      <c r="F10" s="33">
        <f t="shared" ref="F10" si="4">+E10/D10</f>
        <v>0.2103947368421053</v>
      </c>
      <c r="G10" s="32"/>
      <c r="H10" s="34">
        <v>500</v>
      </c>
      <c r="I10" s="32"/>
      <c r="J10" s="2">
        <f>+H10*C10</f>
        <v>0.30004999999999998</v>
      </c>
      <c r="K10" s="2">
        <f>+H10*D10</f>
        <v>0.38</v>
      </c>
      <c r="L10" s="2"/>
      <c r="M10" s="35">
        <f t="shared" si="0"/>
        <v>7.9950000000000021E-2</v>
      </c>
      <c r="N10" s="37">
        <f>SUM(M$6:M15)/$C$1</f>
        <v>0.15705469000000002</v>
      </c>
      <c r="P10"/>
      <c r="R10"/>
      <c r="S10"/>
      <c r="T10"/>
      <c r="U10"/>
      <c r="V10"/>
      <c r="W10"/>
      <c r="X10"/>
      <c r="Y10"/>
      <c r="Z10"/>
    </row>
    <row r="11" spans="1:26" s="1" customFormat="1">
      <c r="A11" s="32" t="s">
        <v>2</v>
      </c>
      <c r="B11" s="2" t="s">
        <v>59</v>
      </c>
      <c r="C11" s="32">
        <v>2.5259999999999999E-5</v>
      </c>
      <c r="D11" s="32">
        <v>3.4499999999999998E-5</v>
      </c>
      <c r="E11" s="2">
        <f>+D11-C11</f>
        <v>9.2399999999999996E-6</v>
      </c>
      <c r="F11" s="33">
        <f>+E11/D11</f>
        <v>0.26782608695652171</v>
      </c>
      <c r="G11" s="32"/>
      <c r="H11" s="34">
        <v>10000</v>
      </c>
      <c r="I11" s="32"/>
      <c r="J11" s="2">
        <f t="shared" ref="J11" si="5">+H11*C11</f>
        <v>0.25259999999999999</v>
      </c>
      <c r="K11" s="2">
        <f t="shared" ref="K11" si="6">+H11*D11</f>
        <v>0.34499999999999997</v>
      </c>
      <c r="L11" s="2"/>
      <c r="M11" s="35">
        <f t="shared" si="0"/>
        <v>9.2399999999999982E-2</v>
      </c>
      <c r="N11" s="37">
        <f>SUM(M$6:M11)/$C$1</f>
        <v>8.4275090000000025E-2</v>
      </c>
      <c r="P11"/>
      <c r="R11"/>
      <c r="S11"/>
      <c r="T11"/>
      <c r="U11"/>
      <c r="V11"/>
      <c r="W11"/>
      <c r="X11"/>
      <c r="Y11"/>
      <c r="Z11"/>
    </row>
    <row r="12" spans="1:26" s="1" customFormat="1">
      <c r="A12" s="32" t="s">
        <v>2</v>
      </c>
      <c r="B12" s="2" t="s">
        <v>59</v>
      </c>
      <c r="C12" s="32">
        <v>1.802E-5</v>
      </c>
      <c r="D12" s="32">
        <v>3.4499999999999998E-5</v>
      </c>
      <c r="E12" s="2">
        <f t="shared" ref="E12" si="7">+D12-C12</f>
        <v>1.6479999999999998E-5</v>
      </c>
      <c r="F12" s="33">
        <f>+E12/D12</f>
        <v>0.47768115942028982</v>
      </c>
      <c r="G12" s="32"/>
      <c r="H12" s="34">
        <v>2035</v>
      </c>
      <c r="I12" s="32"/>
      <c r="J12" s="2">
        <f>+H12*C12</f>
        <v>3.6670700000000001E-2</v>
      </c>
      <c r="K12" s="2">
        <f t="shared" ref="K12:K17" si="8">+H12*D12</f>
        <v>7.0207499999999992E-2</v>
      </c>
      <c r="L12" s="2"/>
      <c r="M12" s="35">
        <f t="shared" si="0"/>
        <v>3.3536799999999992E-2</v>
      </c>
      <c r="N12" s="37">
        <f>SUM(M$6:M21)/$C$1</f>
        <v>0.15705469000000002</v>
      </c>
      <c r="P12"/>
      <c r="R12"/>
      <c r="S12"/>
      <c r="T12"/>
      <c r="U12"/>
      <c r="V12"/>
      <c r="W12"/>
      <c r="X12"/>
      <c r="Y12"/>
      <c r="Z12"/>
    </row>
    <row r="13" spans="1:26" s="1" customFormat="1">
      <c r="A13" s="32" t="s">
        <v>2</v>
      </c>
      <c r="B13" s="2" t="s">
        <v>24</v>
      </c>
      <c r="C13" s="32">
        <v>5.5899999999999998E-6</v>
      </c>
      <c r="D13" s="32">
        <v>8.6000000000000007E-6</v>
      </c>
      <c r="E13" s="2">
        <f>+D13-C13</f>
        <v>3.0100000000000008E-6</v>
      </c>
      <c r="F13" s="33">
        <f>+E13/D13</f>
        <v>0.35000000000000009</v>
      </c>
      <c r="G13" s="32"/>
      <c r="H13" s="34">
        <v>180000</v>
      </c>
      <c r="I13" s="32"/>
      <c r="J13" s="2">
        <f t="shared" ref="J13" si="9">+H13*C13</f>
        <v>1.0062</v>
      </c>
      <c r="K13" s="2">
        <f t="shared" si="8"/>
        <v>1.548</v>
      </c>
      <c r="L13" s="2"/>
      <c r="M13" s="35">
        <f t="shared" si="0"/>
        <v>0.54180000000000006</v>
      </c>
      <c r="N13" s="37">
        <f>SUM(M$6:M13)/$C$1</f>
        <v>0.14180877000000003</v>
      </c>
      <c r="P13"/>
      <c r="R13"/>
      <c r="S13"/>
      <c r="T13"/>
      <c r="U13"/>
      <c r="V13"/>
      <c r="W13"/>
      <c r="X13"/>
      <c r="Y13"/>
      <c r="Z13"/>
    </row>
    <row r="14" spans="1:26" s="1" customFormat="1">
      <c r="A14" s="32" t="s">
        <v>2</v>
      </c>
      <c r="B14" s="2" t="s">
        <v>61</v>
      </c>
      <c r="C14" s="32">
        <v>2.2499999999999998E-3</v>
      </c>
      <c r="D14" s="32">
        <v>2.8999999999999998E-3</v>
      </c>
      <c r="E14" s="2">
        <f>+D14-C14</f>
        <v>6.4999999999999997E-4</v>
      </c>
      <c r="F14" s="33">
        <f>+E14/D14</f>
        <v>0.22413793103448276</v>
      </c>
      <c r="G14" s="32"/>
      <c r="H14" s="34">
        <v>50</v>
      </c>
      <c r="I14" s="32"/>
      <c r="J14" s="2">
        <f>+H14*C14</f>
        <v>0.11249999999999999</v>
      </c>
      <c r="K14" s="2">
        <f t="shared" si="8"/>
        <v>0.14499999999999999</v>
      </c>
      <c r="L14" s="2"/>
      <c r="M14" s="35">
        <f t="shared" si="0"/>
        <v>3.2500000000000001E-2</v>
      </c>
      <c r="N14" s="37">
        <f>SUM(M$6:M25)/$C$1</f>
        <v>0.15705469000000002</v>
      </c>
      <c r="P14"/>
      <c r="R14"/>
      <c r="S14"/>
      <c r="T14"/>
      <c r="U14"/>
      <c r="V14"/>
      <c r="W14"/>
      <c r="X14"/>
      <c r="Y14"/>
      <c r="Z14"/>
    </row>
    <row r="15" spans="1:26" s="1" customFormat="1">
      <c r="A15" s="32" t="s">
        <v>2</v>
      </c>
      <c r="B15" s="2" t="s">
        <v>24</v>
      </c>
      <c r="C15" s="32">
        <v>8.6999999999999997E-6</v>
      </c>
      <c r="D15" s="32">
        <v>9.9000000000000001E-6</v>
      </c>
      <c r="E15" s="2">
        <f>+D15-C15</f>
        <v>1.2000000000000004E-6</v>
      </c>
      <c r="F15" s="33">
        <f>+E15/D15</f>
        <v>0.12121212121212124</v>
      </c>
      <c r="G15" s="32"/>
      <c r="H15" s="34">
        <v>99966</v>
      </c>
      <c r="I15" s="32"/>
      <c r="J15" s="2">
        <f>+H15*C15</f>
        <v>0.86970419999999993</v>
      </c>
      <c r="K15" s="2">
        <f t="shared" si="8"/>
        <v>0.98966339999999997</v>
      </c>
      <c r="L15" s="2"/>
      <c r="M15" s="35">
        <f t="shared" si="0"/>
        <v>0.11995920000000004</v>
      </c>
      <c r="N15" s="37">
        <f>SUM(M$6:M15)/$C$1</f>
        <v>0.15705469000000002</v>
      </c>
      <c r="P15"/>
      <c r="R15"/>
      <c r="S15"/>
      <c r="T15"/>
      <c r="U15"/>
      <c r="V15"/>
      <c r="W15"/>
      <c r="X15"/>
      <c r="Y15"/>
      <c r="Z15"/>
    </row>
    <row r="16" spans="1:26" s="1" customFormat="1">
      <c r="A16" s="27" t="s">
        <v>2</v>
      </c>
      <c r="B16" s="28" t="s">
        <v>63</v>
      </c>
      <c r="C16" s="9">
        <v>3.2000000000000001E-7</v>
      </c>
      <c r="D16" s="27">
        <v>3.4999999999999998E-7</v>
      </c>
      <c r="E16" s="28">
        <f t="shared" ref="E16" si="10">+D16-C16</f>
        <v>2.9999999999999977E-8</v>
      </c>
      <c r="F16" s="29">
        <f t="shared" ref="F16" si="11">+E16/D16</f>
        <v>8.571428571428566E-2</v>
      </c>
      <c r="G16" s="27"/>
      <c r="H16" s="30">
        <v>800000</v>
      </c>
      <c r="I16" s="27"/>
      <c r="J16" s="28">
        <f>+H16*C16</f>
        <v>0.25600000000000001</v>
      </c>
      <c r="K16" s="28">
        <f t="shared" si="8"/>
        <v>0.27999999999999997</v>
      </c>
      <c r="L16" s="28">
        <f>+K16-J16</f>
        <v>2.3999999999999966E-2</v>
      </c>
      <c r="M16" s="31"/>
      <c r="N16" s="37">
        <f>SUM(M$6:M36)/$C$1</f>
        <v>0.15705469000000002</v>
      </c>
      <c r="P16"/>
      <c r="R16"/>
      <c r="S16"/>
      <c r="T16"/>
      <c r="U16"/>
      <c r="V16"/>
      <c r="W16"/>
      <c r="X16"/>
      <c r="Y16"/>
      <c r="Z16"/>
    </row>
    <row r="17" spans="1:26" s="1" customFormat="1">
      <c r="A17" s="27" t="s">
        <v>2</v>
      </c>
      <c r="B17" s="28" t="s">
        <v>38</v>
      </c>
      <c r="C17" s="9">
        <v>1.7540000000000001E-4</v>
      </c>
      <c r="D17" s="27">
        <v>2.9999999999999997E-4</v>
      </c>
      <c r="E17" s="28">
        <f t="shared" ref="E17" si="12">+D17-C17</f>
        <v>1.2459999999999997E-4</v>
      </c>
      <c r="F17" s="29">
        <f t="shared" ref="F17" si="13">+E17/D17</f>
        <v>0.41533333333333328</v>
      </c>
      <c r="G17" s="27"/>
      <c r="H17" s="30">
        <v>5000</v>
      </c>
      <c r="I17" s="27"/>
      <c r="J17" s="28">
        <f>+H17*C17</f>
        <v>0.877</v>
      </c>
      <c r="K17" s="28">
        <f t="shared" si="8"/>
        <v>1.4999999999999998</v>
      </c>
      <c r="L17" s="28">
        <f>+K17-J17</f>
        <v>0.62299999999999978</v>
      </c>
      <c r="M17" s="31"/>
      <c r="N17" s="37">
        <f>SUM(M$6:M37)/$C$1</f>
        <v>0.15705469000000002</v>
      </c>
      <c r="P17"/>
      <c r="R17"/>
      <c r="S17"/>
      <c r="T17"/>
      <c r="U17"/>
      <c r="V17"/>
      <c r="W17"/>
      <c r="X17"/>
      <c r="Y17"/>
      <c r="Z17"/>
    </row>
    <row r="18" spans="1:26" s="1" customFormat="1">
      <c r="A18" s="27" t="s">
        <v>2</v>
      </c>
      <c r="B18" s="28" t="s">
        <v>24</v>
      </c>
      <c r="C18" s="36">
        <v>1.1599999999999999E-6</v>
      </c>
      <c r="D18" s="27">
        <v>8.6000000000000007E-6</v>
      </c>
      <c r="E18" s="28">
        <f>+D18-C18</f>
        <v>7.4400000000000008E-6</v>
      </c>
      <c r="F18" s="29">
        <f t="shared" ref="F18:F21" si="14">+E18/D18</f>
        <v>0.86511627906976751</v>
      </c>
      <c r="G18" s="27"/>
      <c r="H18" s="30">
        <v>1200000</v>
      </c>
      <c r="I18" s="27"/>
      <c r="J18" s="28">
        <f t="shared" ref="J18:J35" si="15">+H18*C18</f>
        <v>1.3919999999999999</v>
      </c>
      <c r="K18" s="28">
        <f t="shared" ref="K18:K35" si="16">+H18*D18</f>
        <v>10.32</v>
      </c>
      <c r="L18" s="28">
        <f t="shared" ref="L18:L35" si="17">+K18-J18</f>
        <v>8.9280000000000008</v>
      </c>
      <c r="M18" s="31"/>
      <c r="N18" s="37">
        <f>SUM(M$6:M18)/$C$1</f>
        <v>0.15705469000000002</v>
      </c>
      <c r="P18"/>
      <c r="R18"/>
      <c r="S18"/>
      <c r="T18"/>
      <c r="U18"/>
      <c r="V18"/>
      <c r="W18"/>
      <c r="X18"/>
      <c r="Y18"/>
      <c r="Z18"/>
    </row>
    <row r="19" spans="1:26" s="1" customFormat="1">
      <c r="A19" s="27" t="s">
        <v>2</v>
      </c>
      <c r="B19" s="28" t="s">
        <v>24</v>
      </c>
      <c r="C19" s="36">
        <v>8.8999999999999995E-7</v>
      </c>
      <c r="D19" s="27">
        <v>8.6000000000000007E-6</v>
      </c>
      <c r="E19" s="28">
        <f>+D19-C19</f>
        <v>7.7100000000000007E-6</v>
      </c>
      <c r="F19" s="29">
        <f t="shared" ref="F19" si="18">+E19/D19</f>
        <v>0.8965116279069768</v>
      </c>
      <c r="G19" s="27"/>
      <c r="H19" s="30">
        <v>600000</v>
      </c>
      <c r="I19" s="27"/>
      <c r="J19" s="28">
        <f t="shared" ref="J19" si="19">+H19*C19</f>
        <v>0.53399999999999992</v>
      </c>
      <c r="K19" s="28">
        <f t="shared" ref="K19" si="20">+H19*D19</f>
        <v>5.16</v>
      </c>
      <c r="L19" s="28">
        <f t="shared" ref="L19" si="21">+K19-J19</f>
        <v>4.6260000000000003</v>
      </c>
      <c r="M19" s="31"/>
      <c r="N19" s="37">
        <f>SUM(M$6:M19)/$C$1</f>
        <v>0.15705469000000002</v>
      </c>
      <c r="P19"/>
      <c r="R19"/>
      <c r="S19"/>
      <c r="T19"/>
      <c r="U19"/>
      <c r="V19"/>
      <c r="W19"/>
      <c r="X19"/>
      <c r="Y19"/>
      <c r="Z19"/>
    </row>
    <row r="20" spans="1:26" s="1" customFormat="1">
      <c r="A20" s="27" t="s">
        <v>2</v>
      </c>
      <c r="B20" s="28" t="s">
        <v>23</v>
      </c>
      <c r="C20" s="27">
        <v>1.7050000000000001E-5</v>
      </c>
      <c r="D20" s="27">
        <v>3.3000000000000003E-5</v>
      </c>
      <c r="E20" s="28">
        <f>+D20-C20</f>
        <v>1.5950000000000001E-5</v>
      </c>
      <c r="F20" s="29">
        <f t="shared" si="14"/>
        <v>0.48333333333333334</v>
      </c>
      <c r="G20" s="27"/>
      <c r="H20" s="30">
        <v>65000</v>
      </c>
      <c r="I20" s="27"/>
      <c r="J20" s="28">
        <f t="shared" si="15"/>
        <v>1.1082500000000002</v>
      </c>
      <c r="K20" s="28">
        <f t="shared" si="16"/>
        <v>2.145</v>
      </c>
      <c r="L20" s="28">
        <f t="shared" si="17"/>
        <v>1.0367499999999998</v>
      </c>
      <c r="M20" s="31"/>
      <c r="N20" s="37">
        <f>SUM(M$6:M20)/$C$1</f>
        <v>0.15705469000000002</v>
      </c>
      <c r="P20"/>
      <c r="R20"/>
      <c r="S20"/>
      <c r="T20"/>
      <c r="U20"/>
      <c r="V20"/>
      <c r="W20"/>
      <c r="X20"/>
      <c r="Y20"/>
      <c r="Z20"/>
    </row>
    <row r="21" spans="1:26" s="1" customFormat="1">
      <c r="A21" s="27" t="s">
        <v>2</v>
      </c>
      <c r="B21" s="28" t="s">
        <v>23</v>
      </c>
      <c r="C21" s="27">
        <v>3.9999999999999998E-6</v>
      </c>
      <c r="D21" s="27">
        <v>2.5999999999999998E-5</v>
      </c>
      <c r="E21" s="28">
        <f t="shared" ref="E21" si="22">+D21-C21</f>
        <v>2.1999999999999999E-5</v>
      </c>
      <c r="F21" s="29">
        <f t="shared" si="14"/>
        <v>0.84615384615384615</v>
      </c>
      <c r="G21" s="27"/>
      <c r="H21" s="30">
        <v>200000</v>
      </c>
      <c r="I21" s="27"/>
      <c r="J21" s="28">
        <f t="shared" ref="J21" si="23">+H21*C21</f>
        <v>0.79999999999999993</v>
      </c>
      <c r="K21" s="28">
        <f t="shared" ref="K21" si="24">+H21*D21</f>
        <v>5.1999999999999993</v>
      </c>
      <c r="L21" s="28">
        <f t="shared" ref="L21" si="25">+K21-J21</f>
        <v>4.3999999999999995</v>
      </c>
      <c r="M21" s="31"/>
      <c r="N21" s="37">
        <f>SUM(M$6:M21)/$C$1</f>
        <v>0.15705469000000002</v>
      </c>
      <c r="P21"/>
      <c r="R21"/>
      <c r="S21"/>
      <c r="T21"/>
      <c r="U21"/>
      <c r="V21"/>
      <c r="W21"/>
      <c r="X21"/>
      <c r="Y21"/>
      <c r="Z21"/>
    </row>
    <row r="22" spans="1:26" s="1" customFormat="1">
      <c r="A22" s="27" t="s">
        <v>2</v>
      </c>
      <c r="B22" s="28" t="s">
        <v>54</v>
      </c>
      <c r="C22" s="27">
        <v>1.8695700000000001E-3</v>
      </c>
      <c r="D22" s="27">
        <v>5.0000000000000001E-3</v>
      </c>
      <c r="E22" s="28">
        <f t="shared" ref="E22" si="26">+D22-C22</f>
        <v>3.13043E-3</v>
      </c>
      <c r="F22" s="29">
        <f t="shared" ref="F22" si="27">+E22/D22</f>
        <v>0.62608600000000003</v>
      </c>
      <c r="G22" s="27"/>
      <c r="H22" s="30">
        <v>300</v>
      </c>
      <c r="I22" s="27"/>
      <c r="J22" s="28">
        <f t="shared" si="15"/>
        <v>0.56087100000000001</v>
      </c>
      <c r="K22" s="28">
        <f t="shared" si="16"/>
        <v>1.5</v>
      </c>
      <c r="L22" s="28">
        <f t="shared" si="17"/>
        <v>0.93912899999999999</v>
      </c>
      <c r="M22" s="31"/>
      <c r="N22" s="37">
        <f>SUM(M$6:M22)/$C$1</f>
        <v>0.15705469000000002</v>
      </c>
      <c r="P22"/>
      <c r="R22"/>
      <c r="S22"/>
      <c r="T22"/>
      <c r="U22"/>
      <c r="V22"/>
      <c r="W22"/>
      <c r="X22"/>
      <c r="Y22"/>
      <c r="Z22"/>
    </row>
    <row r="23" spans="1:26" s="1" customFormat="1">
      <c r="A23" s="27" t="s">
        <v>2</v>
      </c>
      <c r="B23" s="28" t="s">
        <v>55</v>
      </c>
      <c r="C23" s="27">
        <v>1.5579999999999999E-4</v>
      </c>
      <c r="D23" s="27">
        <v>2.5000000000000001E-4</v>
      </c>
      <c r="E23" s="28">
        <f>+D23-C23</f>
        <v>9.4200000000000013E-5</v>
      </c>
      <c r="F23" s="29">
        <f>+E23/D23</f>
        <v>0.37680000000000002</v>
      </c>
      <c r="G23" s="27"/>
      <c r="H23" s="30">
        <v>2000</v>
      </c>
      <c r="I23" s="27"/>
      <c r="J23" s="28">
        <f t="shared" si="15"/>
        <v>0.31159999999999999</v>
      </c>
      <c r="K23" s="28">
        <f t="shared" si="16"/>
        <v>0.5</v>
      </c>
      <c r="L23" s="28">
        <f t="shared" si="17"/>
        <v>0.18840000000000001</v>
      </c>
      <c r="M23" s="31"/>
      <c r="N23" s="37">
        <f>SUM(M$6:M23)/$C$1</f>
        <v>0.15705469000000002</v>
      </c>
      <c r="P23"/>
      <c r="R23"/>
      <c r="S23"/>
      <c r="T23"/>
      <c r="U23"/>
      <c r="V23"/>
      <c r="W23"/>
      <c r="X23"/>
      <c r="Y23"/>
      <c r="Z23"/>
    </row>
    <row r="24" spans="1:26" s="1" customFormat="1">
      <c r="A24" s="27" t="s">
        <v>2</v>
      </c>
      <c r="B24" s="28" t="s">
        <v>37</v>
      </c>
      <c r="C24" s="27">
        <v>1.5999999999999999E-5</v>
      </c>
      <c r="D24" s="27">
        <v>3.4999999999999997E-5</v>
      </c>
      <c r="E24" s="28">
        <f t="shared" ref="E24:E30" si="28">+D24-C24</f>
        <v>1.8999999999999998E-5</v>
      </c>
      <c r="F24" s="29">
        <f t="shared" ref="F24:F30" si="29">+E24/D24</f>
        <v>0.54285714285714282</v>
      </c>
      <c r="G24" s="27"/>
      <c r="H24" s="30">
        <v>10000</v>
      </c>
      <c r="I24" s="27"/>
      <c r="J24" s="28">
        <f t="shared" si="15"/>
        <v>0.16</v>
      </c>
      <c r="K24" s="28">
        <f t="shared" si="16"/>
        <v>0.35</v>
      </c>
      <c r="L24" s="28">
        <f t="shared" si="17"/>
        <v>0.18999999999999997</v>
      </c>
      <c r="M24" s="31"/>
      <c r="N24" s="37">
        <f>SUM(M$6:M24)/$C$1</f>
        <v>0.15705469000000002</v>
      </c>
      <c r="P24"/>
      <c r="R24"/>
      <c r="S24"/>
      <c r="T24"/>
      <c r="U24"/>
      <c r="V24"/>
      <c r="W24"/>
      <c r="X24"/>
      <c r="Y24"/>
      <c r="Z24"/>
    </row>
    <row r="25" spans="1:26" s="1" customFormat="1">
      <c r="A25" s="27" t="s">
        <v>2</v>
      </c>
      <c r="B25" s="28" t="s">
        <v>57</v>
      </c>
      <c r="C25" s="27">
        <v>2.2000000000000001E-4</v>
      </c>
      <c r="D25" s="27">
        <v>2.5999999999999998E-4</v>
      </c>
      <c r="E25" s="28">
        <f t="shared" si="28"/>
        <v>3.9999999999999969E-5</v>
      </c>
      <c r="F25" s="29">
        <f t="shared" si="29"/>
        <v>0.15384615384615374</v>
      </c>
      <c r="G25" s="27"/>
      <c r="H25" s="30">
        <v>2000</v>
      </c>
      <c r="I25" s="27"/>
      <c r="J25" s="28">
        <f t="shared" ref="J25:J30" si="30">+H25*C25</f>
        <v>0.44</v>
      </c>
      <c r="K25" s="28">
        <f t="shared" ref="K25:K30" si="31">+H25*D25</f>
        <v>0.51999999999999991</v>
      </c>
      <c r="L25" s="28">
        <f t="shared" ref="L25:L30" si="32">+K25-J25</f>
        <v>7.9999999999999905E-2</v>
      </c>
      <c r="M25" s="31"/>
      <c r="N25" s="37">
        <f>SUM(M$6:M25)/$C$1</f>
        <v>0.15705469000000002</v>
      </c>
      <c r="P25"/>
      <c r="R25"/>
      <c r="S25"/>
      <c r="T25"/>
      <c r="U25"/>
      <c r="V25"/>
      <c r="W25"/>
      <c r="X25"/>
      <c r="Y25"/>
      <c r="Z25"/>
    </row>
    <row r="26" spans="1:26" s="1" customFormat="1">
      <c r="A26" s="27" t="s">
        <v>2</v>
      </c>
      <c r="B26" s="28" t="s">
        <v>33</v>
      </c>
      <c r="C26" s="27">
        <v>2E-8</v>
      </c>
      <c r="D26" s="27">
        <v>4.0000000000000001E-8</v>
      </c>
      <c r="E26" s="28">
        <f t="shared" si="28"/>
        <v>2E-8</v>
      </c>
      <c r="F26" s="29">
        <f t="shared" si="29"/>
        <v>0.5</v>
      </c>
      <c r="G26" s="27"/>
      <c r="H26" s="30">
        <v>22000000</v>
      </c>
      <c r="I26" s="27"/>
      <c r="J26" s="28">
        <f t="shared" si="30"/>
        <v>0.44</v>
      </c>
      <c r="K26" s="28">
        <f t="shared" si="31"/>
        <v>0.88</v>
      </c>
      <c r="L26" s="28">
        <f t="shared" si="32"/>
        <v>0.44</v>
      </c>
      <c r="M26" s="31"/>
      <c r="N26" s="37">
        <f>SUM(M$6:M26)/$C$1</f>
        <v>0.15705469000000002</v>
      </c>
      <c r="P26"/>
      <c r="R26"/>
      <c r="S26"/>
      <c r="T26"/>
      <c r="U26"/>
      <c r="V26"/>
      <c r="W26"/>
      <c r="X26"/>
      <c r="Y26"/>
      <c r="Z26"/>
    </row>
    <row r="27" spans="1:26" s="1" customFormat="1">
      <c r="A27" s="27" t="s">
        <v>2</v>
      </c>
      <c r="B27" s="28" t="s">
        <v>33</v>
      </c>
      <c r="C27" s="27">
        <v>1E-8</v>
      </c>
      <c r="D27" s="27">
        <v>4.0000000000000001E-8</v>
      </c>
      <c r="E27" s="28">
        <f t="shared" si="28"/>
        <v>3.0000000000000004E-8</v>
      </c>
      <c r="F27" s="29">
        <f t="shared" si="29"/>
        <v>0.75000000000000011</v>
      </c>
      <c r="G27" s="27"/>
      <c r="H27" s="30">
        <v>38000000</v>
      </c>
      <c r="I27" s="27"/>
      <c r="J27" s="28">
        <f t="shared" si="30"/>
        <v>0.38</v>
      </c>
      <c r="K27" s="28">
        <f t="shared" si="31"/>
        <v>1.52</v>
      </c>
      <c r="L27" s="28">
        <f t="shared" si="32"/>
        <v>1.1400000000000001</v>
      </c>
      <c r="M27" s="31"/>
      <c r="N27" s="37">
        <f>SUM(M$6:M27)/$C$1</f>
        <v>0.15705469000000002</v>
      </c>
      <c r="P27"/>
      <c r="R27"/>
      <c r="S27"/>
      <c r="T27"/>
      <c r="U27"/>
      <c r="V27"/>
      <c r="W27"/>
      <c r="X27"/>
      <c r="Y27"/>
      <c r="Z27"/>
    </row>
    <row r="28" spans="1:26" s="1" customFormat="1">
      <c r="A28" s="27" t="s">
        <v>2</v>
      </c>
      <c r="B28" s="28" t="s">
        <v>62</v>
      </c>
      <c r="C28" s="27">
        <v>8.7180000000000002E-5</v>
      </c>
      <c r="D28" s="27">
        <v>1.2999999999999999E-4</v>
      </c>
      <c r="E28" s="28">
        <f t="shared" si="28"/>
        <v>4.2819999999999986E-5</v>
      </c>
      <c r="F28" s="29">
        <f t="shared" si="29"/>
        <v>0.32938461538461533</v>
      </c>
      <c r="G28" s="27"/>
      <c r="H28" s="30">
        <v>5000</v>
      </c>
      <c r="I28" s="27"/>
      <c r="J28" s="28">
        <f t="shared" si="30"/>
        <v>0.43590000000000001</v>
      </c>
      <c r="K28" s="28">
        <f t="shared" si="31"/>
        <v>0.64999999999999991</v>
      </c>
      <c r="L28" s="28">
        <f t="shared" si="32"/>
        <v>0.2140999999999999</v>
      </c>
      <c r="M28" s="31"/>
      <c r="N28" s="37">
        <f>SUM(M$6:M28)/$C$1</f>
        <v>0.15705469000000002</v>
      </c>
      <c r="P28"/>
      <c r="R28"/>
      <c r="S28"/>
      <c r="T28"/>
      <c r="U28"/>
      <c r="V28"/>
      <c r="W28"/>
      <c r="X28"/>
      <c r="Y28"/>
      <c r="Z28"/>
    </row>
    <row r="29" spans="1:26" s="1" customFormat="1">
      <c r="A29" s="27" t="s">
        <v>2</v>
      </c>
      <c r="B29" s="28" t="s">
        <v>62</v>
      </c>
      <c r="C29" s="27">
        <v>1.8899999999999999E-5</v>
      </c>
      <c r="D29" s="27">
        <v>1.2999999999999999E-4</v>
      </c>
      <c r="E29" s="28">
        <f t="shared" si="28"/>
        <v>1.1109999999999999E-4</v>
      </c>
      <c r="F29" s="29">
        <f t="shared" si="29"/>
        <v>0.85461538461538467</v>
      </c>
      <c r="G29" s="27"/>
      <c r="H29" s="30">
        <v>25000</v>
      </c>
      <c r="I29" s="27"/>
      <c r="J29" s="28">
        <f t="shared" si="30"/>
        <v>0.47249999999999998</v>
      </c>
      <c r="K29" s="28">
        <f t="shared" si="31"/>
        <v>3.2499999999999996</v>
      </c>
      <c r="L29" s="28">
        <f t="shared" si="32"/>
        <v>2.7774999999999994</v>
      </c>
      <c r="M29" s="31"/>
      <c r="N29" s="37">
        <f>SUM(M$6:M29)/$C$1</f>
        <v>0.15705469000000002</v>
      </c>
      <c r="P29"/>
      <c r="R29"/>
      <c r="S29"/>
      <c r="T29"/>
      <c r="U29"/>
      <c r="V29"/>
      <c r="W29"/>
      <c r="X29"/>
      <c r="Y29"/>
      <c r="Z29"/>
    </row>
    <row r="30" spans="1:26" s="1" customFormat="1">
      <c r="A30" s="27" t="s">
        <v>2</v>
      </c>
      <c r="B30" s="28" t="s">
        <v>63</v>
      </c>
      <c r="C30" s="27">
        <v>1.6999999999999999E-7</v>
      </c>
      <c r="D30" s="27">
        <v>7.0999999999999998E-7</v>
      </c>
      <c r="E30" s="28">
        <f t="shared" si="28"/>
        <v>5.4000000000000002E-7</v>
      </c>
      <c r="F30" s="29">
        <f t="shared" si="29"/>
        <v>0.76056338028169024</v>
      </c>
      <c r="G30" s="27"/>
      <c r="H30" s="30">
        <v>1300000</v>
      </c>
      <c r="I30" s="27"/>
      <c r="J30" s="28">
        <f t="shared" si="30"/>
        <v>0.22099999999999997</v>
      </c>
      <c r="K30" s="28">
        <f t="shared" si="31"/>
        <v>0.92299999999999993</v>
      </c>
      <c r="L30" s="28">
        <f t="shared" si="32"/>
        <v>0.70199999999999996</v>
      </c>
      <c r="M30" s="31"/>
      <c r="N30" s="37">
        <f>SUM(M$6:M30)/$C$1</f>
        <v>0.15705469000000002</v>
      </c>
      <c r="P30"/>
      <c r="R30"/>
      <c r="S30"/>
      <c r="T30"/>
      <c r="U30"/>
      <c r="V30"/>
      <c r="W30"/>
      <c r="X30"/>
      <c r="Y30"/>
      <c r="Z30"/>
    </row>
    <row r="31" spans="1:26" s="1" customFormat="1">
      <c r="A31" s="27" t="s">
        <v>2</v>
      </c>
      <c r="B31" s="28" t="s">
        <v>64</v>
      </c>
      <c r="C31" s="27">
        <v>1.7059999999999999E-5</v>
      </c>
      <c r="D31" s="27">
        <v>1.9000000000000001E-5</v>
      </c>
      <c r="E31" s="28">
        <f t="shared" ref="E31" si="33">+D31-C31</f>
        <v>1.9400000000000018E-6</v>
      </c>
      <c r="F31" s="29">
        <f t="shared" ref="F31" si="34">+E31/D31</f>
        <v>0.10210526315789482</v>
      </c>
      <c r="G31" s="27"/>
      <c r="H31" s="30">
        <v>25000</v>
      </c>
      <c r="I31" s="27"/>
      <c r="J31" s="28">
        <f t="shared" ref="J31" si="35">+H31*C31</f>
        <v>0.42649999999999999</v>
      </c>
      <c r="K31" s="28">
        <f t="shared" ref="K31" si="36">+H31*D31</f>
        <v>0.47500000000000003</v>
      </c>
      <c r="L31" s="28">
        <f t="shared" ref="L31" si="37">+K31-J31</f>
        <v>4.8500000000000043E-2</v>
      </c>
      <c r="M31" s="31"/>
      <c r="N31" s="37">
        <f>SUM(M$6:M31)/$C$1</f>
        <v>0.15705469000000002</v>
      </c>
      <c r="P31"/>
      <c r="R31"/>
      <c r="S31"/>
      <c r="T31"/>
      <c r="U31"/>
      <c r="V31"/>
      <c r="W31"/>
      <c r="X31"/>
      <c r="Y31"/>
      <c r="Z31"/>
    </row>
    <row r="32" spans="1:26" s="1" customFormat="1">
      <c r="A32" s="27" t="s">
        <v>2</v>
      </c>
      <c r="B32" s="28" t="s">
        <v>65</v>
      </c>
      <c r="C32" s="27">
        <v>7.1999999999999998E-3</v>
      </c>
      <c r="D32" s="27">
        <v>0.01</v>
      </c>
      <c r="E32" s="28">
        <f t="shared" ref="E32" si="38">+D32-C32</f>
        <v>2.8000000000000004E-3</v>
      </c>
      <c r="F32" s="29">
        <f t="shared" ref="F32" si="39">+E32/D32</f>
        <v>0.28000000000000003</v>
      </c>
      <c r="G32" s="27"/>
      <c r="H32" s="30">
        <v>50</v>
      </c>
      <c r="I32" s="27"/>
      <c r="J32" s="28">
        <f t="shared" si="15"/>
        <v>0.36</v>
      </c>
      <c r="K32" s="28">
        <f t="shared" si="16"/>
        <v>0.5</v>
      </c>
      <c r="L32" s="28">
        <f t="shared" si="17"/>
        <v>0.14000000000000001</v>
      </c>
      <c r="M32" s="31"/>
      <c r="N32" s="37">
        <f>SUM(M$6:M32)/$C$1</f>
        <v>0.15705469000000002</v>
      </c>
      <c r="P32"/>
      <c r="R32"/>
      <c r="S32"/>
      <c r="T32"/>
      <c r="U32"/>
      <c r="V32"/>
      <c r="W32"/>
      <c r="X32"/>
      <c r="Y32"/>
      <c r="Z32"/>
    </row>
    <row r="33" spans="1:26" s="1" customFormat="1">
      <c r="A33" s="27" t="s">
        <v>2</v>
      </c>
      <c r="B33" s="28" t="s">
        <v>58</v>
      </c>
      <c r="C33" s="27">
        <v>3.9999999999999998E-6</v>
      </c>
      <c r="D33" s="27">
        <v>1.4E-5</v>
      </c>
      <c r="E33" s="28">
        <f t="shared" ref="E33:E36" si="40">+D33-C33</f>
        <v>9.9999999999999991E-6</v>
      </c>
      <c r="F33" s="29">
        <f t="shared" ref="F33:F36" si="41">+E33/D33</f>
        <v>0.71428571428571419</v>
      </c>
      <c r="G33" s="27"/>
      <c r="H33" s="30">
        <v>100000</v>
      </c>
      <c r="I33" s="27"/>
      <c r="J33" s="28">
        <f t="shared" si="15"/>
        <v>0.39999999999999997</v>
      </c>
      <c r="K33" s="28">
        <f t="shared" si="16"/>
        <v>1.4</v>
      </c>
      <c r="L33" s="28">
        <f t="shared" si="17"/>
        <v>1</v>
      </c>
      <c r="M33" s="31"/>
      <c r="N33" s="37">
        <f>SUM(M$6:M33)/$C$1</f>
        <v>0.15705469000000002</v>
      </c>
      <c r="P33"/>
      <c r="R33"/>
      <c r="S33"/>
      <c r="T33"/>
      <c r="U33"/>
      <c r="V33"/>
      <c r="W33"/>
      <c r="X33"/>
      <c r="Y33"/>
      <c r="Z33"/>
    </row>
    <row r="34" spans="1:26" s="1" customFormat="1">
      <c r="A34" s="27" t="s">
        <v>2</v>
      </c>
      <c r="B34" s="28" t="s">
        <v>66</v>
      </c>
      <c r="C34" s="27">
        <v>3.2000000000000003E-4</v>
      </c>
      <c r="D34" s="27">
        <v>1E-3</v>
      </c>
      <c r="E34" s="28">
        <f t="shared" ref="E34:E35" si="42">+D34-C34</f>
        <v>6.8000000000000005E-4</v>
      </c>
      <c r="F34" s="29">
        <f t="shared" ref="F34:F35" si="43">+E34/D34</f>
        <v>0.68</v>
      </c>
      <c r="G34" s="27"/>
      <c r="H34" s="30">
        <v>3000</v>
      </c>
      <c r="I34" s="27"/>
      <c r="J34" s="28">
        <f t="shared" si="15"/>
        <v>0.96000000000000008</v>
      </c>
      <c r="K34" s="28">
        <f t="shared" si="16"/>
        <v>3</v>
      </c>
      <c r="L34" s="28">
        <f t="shared" si="17"/>
        <v>2.04</v>
      </c>
      <c r="M34" s="31"/>
      <c r="N34" s="37">
        <f>SUM(M$6:M34)/$C$1</f>
        <v>0.15705469000000002</v>
      </c>
      <c r="P34"/>
      <c r="R34"/>
      <c r="S34"/>
      <c r="T34"/>
      <c r="U34"/>
      <c r="V34"/>
      <c r="W34"/>
      <c r="X34"/>
      <c r="Y34"/>
      <c r="Z34"/>
    </row>
    <row r="35" spans="1:26" s="1" customFormat="1">
      <c r="A35" s="27" t="s">
        <v>2</v>
      </c>
      <c r="B35" s="28" t="s">
        <v>67</v>
      </c>
      <c r="C35" s="27">
        <v>4.8890000000000001E-4</v>
      </c>
      <c r="D35" s="27">
        <v>6.8000000000000005E-4</v>
      </c>
      <c r="E35" s="28">
        <f t="shared" si="42"/>
        <v>1.9110000000000004E-4</v>
      </c>
      <c r="F35" s="29">
        <f t="shared" si="43"/>
        <v>0.28102941176470592</v>
      </c>
      <c r="G35" s="27"/>
      <c r="H35" s="30">
        <v>1600</v>
      </c>
      <c r="I35" s="27"/>
      <c r="J35" s="28">
        <f t="shared" si="15"/>
        <v>0.78224000000000005</v>
      </c>
      <c r="K35" s="28">
        <f t="shared" si="16"/>
        <v>1.0880000000000001</v>
      </c>
      <c r="L35" s="28">
        <f t="shared" si="17"/>
        <v>0.30576000000000003</v>
      </c>
      <c r="M35" s="31"/>
      <c r="N35" s="37">
        <f>SUM(M$6:M35)/$C$1</f>
        <v>0.15705469000000002</v>
      </c>
      <c r="P35"/>
      <c r="R35"/>
      <c r="S35"/>
      <c r="T35"/>
      <c r="U35"/>
      <c r="V35"/>
      <c r="W35"/>
      <c r="X35"/>
      <c r="Y35"/>
      <c r="Z35"/>
    </row>
    <row r="36" spans="1:26" s="1" customFormat="1">
      <c r="A36" s="27" t="s">
        <v>2</v>
      </c>
      <c r="B36" s="28" t="s">
        <v>62</v>
      </c>
      <c r="C36" s="27">
        <v>2.6635999999999999E-4</v>
      </c>
      <c r="D36" s="27">
        <v>4.0000000000000002E-4</v>
      </c>
      <c r="E36" s="28">
        <f t="shared" si="40"/>
        <v>1.3364000000000003E-4</v>
      </c>
      <c r="F36" s="29">
        <f t="shared" si="41"/>
        <v>0.33410000000000006</v>
      </c>
      <c r="G36" s="27"/>
      <c r="H36" s="30">
        <v>2000</v>
      </c>
      <c r="I36" s="27"/>
      <c r="J36" s="28">
        <f t="shared" ref="J36" si="44">+H36*C36</f>
        <v>0.53271999999999997</v>
      </c>
      <c r="K36" s="28">
        <f t="shared" ref="K36" si="45">+H36*D36</f>
        <v>0.8</v>
      </c>
      <c r="L36" s="28">
        <f t="shared" ref="L36" si="46">+K36-J36</f>
        <v>0.26728000000000007</v>
      </c>
      <c r="M36" s="31"/>
      <c r="N36" s="37">
        <f>SUM(M$6:M36)/$C$1</f>
        <v>0.15705469000000002</v>
      </c>
      <c r="P36"/>
      <c r="R36"/>
      <c r="S36"/>
      <c r="T36"/>
      <c r="U36"/>
      <c r="V36"/>
      <c r="W36"/>
      <c r="X36"/>
      <c r="Y36"/>
      <c r="Z36"/>
    </row>
    <row r="37" spans="1:26">
      <c r="O37" s="14"/>
      <c r="P37" s="14"/>
      <c r="Q37" s="25"/>
      <c r="R37" s="25"/>
      <c r="S37" s="14"/>
      <c r="T37" s="15"/>
      <c r="U37" s="14"/>
    </row>
    <row r="38" spans="1:26">
      <c r="B38" s="22" t="s">
        <v>46</v>
      </c>
      <c r="L38" s="1">
        <f>+SUM(L6:L36)</f>
        <v>30.110419000000004</v>
      </c>
      <c r="M38" s="1">
        <f>+SUM(M6:M36)</f>
        <v>1.5705469000000003</v>
      </c>
      <c r="O38" s="14"/>
      <c r="P38" s="14"/>
      <c r="Q38" s="25"/>
      <c r="R38" s="25"/>
      <c r="S38" s="14"/>
      <c r="T38" s="26"/>
      <c r="U38" s="14"/>
    </row>
    <row r="39" spans="1:26">
      <c r="B39" s="2" t="s">
        <v>47</v>
      </c>
      <c r="O39" s="14"/>
      <c r="P39" s="14"/>
      <c r="Q39" s="25"/>
      <c r="R39" s="25"/>
      <c r="S39" s="14"/>
      <c r="T39" s="26"/>
    </row>
    <row r="40" spans="1:26">
      <c r="B40" s="3" t="s">
        <v>48</v>
      </c>
    </row>
    <row r="42" spans="1:26" s="1" customFormat="1">
      <c r="A42"/>
      <c r="B42" s="23" t="s">
        <v>49</v>
      </c>
      <c r="C42"/>
      <c r="D42"/>
      <c r="F42"/>
      <c r="G42"/>
      <c r="H42" s="6"/>
      <c r="I42"/>
      <c r="J42"/>
      <c r="K42"/>
      <c r="P42"/>
      <c r="R42"/>
      <c r="S42"/>
      <c r="T42"/>
      <c r="U42"/>
      <c r="V42"/>
    </row>
    <row r="43" spans="1:26" s="1" customFormat="1">
      <c r="B43" s="23" t="s">
        <v>50</v>
      </c>
      <c r="P43"/>
      <c r="R43"/>
      <c r="S43"/>
      <c r="T43"/>
      <c r="U43"/>
      <c r="V43"/>
    </row>
    <row r="44" spans="1:26" s="1" customFormat="1">
      <c r="B44" s="23" t="s">
        <v>52</v>
      </c>
      <c r="P44"/>
      <c r="R44"/>
      <c r="S44"/>
      <c r="T44"/>
      <c r="U44"/>
      <c r="V44"/>
    </row>
    <row r="45" spans="1:26" s="1" customFormat="1">
      <c r="P45"/>
      <c r="R45"/>
      <c r="S45"/>
      <c r="T45"/>
      <c r="U45"/>
      <c r="V45"/>
    </row>
    <row r="48" spans="1:26" s="1" customFormat="1" ht="16">
      <c r="A48"/>
      <c r="B48" s="3" t="s">
        <v>34</v>
      </c>
      <c r="C48" s="3"/>
      <c r="D48" s="4" t="s">
        <v>2</v>
      </c>
      <c r="E48" s="11"/>
      <c r="F48"/>
      <c r="G48"/>
      <c r="H48"/>
      <c r="I48"/>
      <c r="J48"/>
      <c r="K48" s="7"/>
      <c r="P48"/>
      <c r="R48"/>
      <c r="S48"/>
      <c r="T48"/>
      <c r="U48"/>
      <c r="V48"/>
      <c r="W48"/>
      <c r="X48"/>
      <c r="Y48"/>
      <c r="Z48"/>
    </row>
    <row r="49" spans="1:26" s="1" customFormat="1" ht="16">
      <c r="A49"/>
      <c r="B49" s="3" t="s">
        <v>35</v>
      </c>
      <c r="C49" s="3"/>
      <c r="D49" s="4" t="s">
        <v>2</v>
      </c>
      <c r="F49"/>
      <c r="G49"/>
      <c r="H49"/>
      <c r="I49"/>
      <c r="J49"/>
      <c r="K49" s="7"/>
      <c r="P49"/>
      <c r="R49"/>
      <c r="S49"/>
      <c r="T49"/>
      <c r="U49"/>
      <c r="V49"/>
      <c r="W49"/>
      <c r="X49"/>
      <c r="Y49"/>
      <c r="Z49"/>
    </row>
    <row r="50" spans="1:26" s="1" customFormat="1">
      <c r="A50"/>
      <c r="B50" s="3" t="s">
        <v>36</v>
      </c>
      <c r="C50" s="3"/>
      <c r="D50" s="4" t="s">
        <v>2</v>
      </c>
      <c r="F50"/>
      <c r="G50"/>
      <c r="H50"/>
      <c r="I50"/>
      <c r="J50"/>
      <c r="K50"/>
      <c r="P50"/>
      <c r="R50"/>
      <c r="S50"/>
      <c r="T50"/>
      <c r="U50"/>
      <c r="V50"/>
      <c r="W50"/>
      <c r="X50"/>
      <c r="Y50"/>
      <c r="Z50"/>
    </row>
    <row r="51" spans="1:26" s="1" customFormat="1" ht="16">
      <c r="A51"/>
      <c r="C51"/>
      <c r="D51"/>
      <c r="F51"/>
      <c r="G51"/>
      <c r="H51"/>
      <c r="I51"/>
      <c r="J51"/>
      <c r="K51" s="7"/>
      <c r="P51"/>
      <c r="R51"/>
      <c r="S51"/>
      <c r="T51"/>
      <c r="U51"/>
      <c r="V51"/>
      <c r="W51"/>
      <c r="X51"/>
      <c r="Y51"/>
      <c r="Z51"/>
    </row>
    <row r="52" spans="1:26">
      <c r="B52"/>
    </row>
    <row r="53" spans="1:26">
      <c r="B5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Graficas</vt:lpstr>
      <vt:lpstr>Resultados</vt:lpstr>
      <vt:lpstr>W11</vt:lpstr>
      <vt:lpstr>W10</vt:lpstr>
      <vt:lpstr>W9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Guerrero, Jesus</dc:creator>
  <cp:keywords/>
  <dc:description/>
  <cp:lastModifiedBy>-meMo- guerrero</cp:lastModifiedBy>
  <cp:revision/>
  <dcterms:created xsi:type="dcterms:W3CDTF">2018-08-20T12:57:52Z</dcterms:created>
  <dcterms:modified xsi:type="dcterms:W3CDTF">2019-03-12T14:58:23Z</dcterms:modified>
  <cp:category/>
  <cp:contentStatus/>
</cp:coreProperties>
</file>